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homebridgeus-my.sharepoint.com/personal/paige_jorgensen_homebridge_com/Documents/Desktop/"/>
    </mc:Choice>
  </mc:AlternateContent>
  <xr:revisionPtr revIDLastSave="0" documentId="8_{4F484504-1F6C-4030-B984-D5D66B448A67}" xr6:coauthVersionLast="47" xr6:coauthVersionMax="47" xr10:uidLastSave="{00000000-0000-0000-0000-000000000000}"/>
  <workbookProtection workbookAlgorithmName="SHA-512" workbookHashValue="U2/SZ6Gk7AudOxYIweTO+lZDuoJOyZff31jDvLBEluqFJjU2vo/WViEiT4wPKkEWFzD05fkbkqQggHBBp/cceA==" workbookSaltValue="Nkbm3wkXSTtJJqumYBvj5A==" workbookSpinCount="100000" lockStructure="1"/>
  <bookViews>
    <workbookView xWindow="-120" yWindow="-120" windowWidth="21840" windowHeight="13290" xr2:uid="{00000000-000D-0000-FFFF-FFFF00000000}"/>
  </bookViews>
  <sheets>
    <sheet name="Loan Am DTI" sheetId="1" r:id="rId1"/>
    <sheet name="Buydown" sheetId="5" r:id="rId2"/>
  </sheets>
  <definedNames>
    <definedName name="Beg_Bal" localSheetId="0">'Loan Am DTI'!$C$20:$C$379</definedName>
    <definedName name="Conforming_Loan_Limit">'Loan Am DTI'!$AF$66</definedName>
    <definedName name="DownPayment">'Loan Am DTI'!$D$7</definedName>
    <definedName name="EscrowsWaived?">#REF!</definedName>
    <definedName name="Extra_Pay" localSheetId="0">'Loan Am DTI'!$E$20:$E$379</definedName>
    <definedName name="FHA_Loan_Limit">'Loan Am DTI'!$AF$67</definedName>
    <definedName name="Int" localSheetId="0">'Loan Am DTI'!$H$20:$H$379</definedName>
    <definedName name="Interest_Rate" localSheetId="0">'Loan Am DTI'!$D$10</definedName>
    <definedName name="Interest_Rate_InputsPage">#REF!</definedName>
    <definedName name="Loan_Amount" localSheetId="0">'Loan Am DTI'!$D$9</definedName>
    <definedName name="Loan_Amount_InputsPage">#REF!</definedName>
    <definedName name="Loan_Start" localSheetId="0">'Loan Am DTI'!$D$12</definedName>
    <definedName name="Loan_Start_InputsPage">#REF!</definedName>
    <definedName name="Loan_Years" localSheetId="0">'Loan Am DTI'!$D$11</definedName>
    <definedName name="Loan_Years_InputsPage">#REF!</definedName>
    <definedName name="MI">'Loan Am DTI'!$AG$24</definedName>
    <definedName name="Num_Pmt_Per_Year" localSheetId="0">'Loan Am DTI'!$AG$21</definedName>
    <definedName name="Number_of_Payments" localSheetId="0">'Loan Am DTI'!$Q$8</definedName>
    <definedName name="Occupancy">'Loan Am DTI'!$H$6</definedName>
    <definedName name="Pay_Num" localSheetId="0">'Loan Am DTI'!$A$20:$A$379</definedName>
    <definedName name="Points_Discount">#REF!</definedName>
    <definedName name="Princ" localSheetId="0">'Loan Am DTI'!$G$20:$G$379</definedName>
    <definedName name="_xlnm.Print_Area" localSheetId="1">Buydown!$B$2:$P$18</definedName>
    <definedName name="Program" localSheetId="1">#REF!</definedName>
    <definedName name="Program">'Loan Am DTI'!$H$7</definedName>
    <definedName name="PurchasePrice">'Loan Am DTI'!$D$6</definedName>
    <definedName name="PurchasePrice_InputsPage">#REF!</definedName>
    <definedName name="Sched_Pay" localSheetId="0">'Loan Am DTI'!$D$20:$D$379</definedName>
    <definedName name="Scheduled_Extra_Payments" localSheetId="0">'Loan Am DTI'!$D$13</definedName>
    <definedName name="Scheduled_Monthly_Payment" localSheetId="0">'Loan Am DTI'!$Q$6</definedName>
    <definedName name="Total_Pay" localSheetId="0">'Loan Am DTI'!$F$20:$F$379</definedName>
    <definedName name="UFMIP">'Loan Am DTI'!$AF$24</definedName>
    <definedName name="UFMIP_Calc">'Loan Am DTI'!$D$8</definedName>
    <definedName name="UFMIP_Calc_InputsPage">#REF!</definedName>
    <definedName name="VA_Loan_Limit">'Loan Am DTI'!$AF$68</definedName>
    <definedName name="values_entered" localSheetId="0">'Loan Am DTI'!$D$10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  <c r="F12" i="5"/>
  <c r="H13" i="5" s="1"/>
  <c r="F11" i="5"/>
  <c r="F9" i="5"/>
  <c r="E9" i="5" s="1"/>
  <c r="F8" i="5"/>
  <c r="Z22" i="5"/>
  <c r="Y22" i="5"/>
  <c r="U21" i="5"/>
  <c r="U20" i="5"/>
  <c r="U19" i="5"/>
  <c r="U18" i="5"/>
  <c r="U17" i="5"/>
  <c r="X22" i="5" s="1"/>
  <c r="I11" i="5" s="1"/>
  <c r="L13" i="5" l="1"/>
  <c r="I13" i="5"/>
  <c r="W22" i="5"/>
  <c r="I10" i="5" s="1"/>
  <c r="I12" i="5"/>
  <c r="O45" i="1" l="1"/>
  <c r="O46" i="1"/>
  <c r="O47" i="1"/>
  <c r="O48" i="1"/>
  <c r="AG26" i="1"/>
  <c r="O44" i="1"/>
  <c r="O23" i="1"/>
  <c r="X25" i="1"/>
  <c r="U25" i="1" s="1"/>
  <c r="X26" i="1"/>
  <c r="U26" i="1" s="1"/>
  <c r="X27" i="1"/>
  <c r="U27" i="1" s="1"/>
  <c r="O27" i="1" s="1"/>
  <c r="W25" i="1"/>
  <c r="W26" i="1"/>
  <c r="O49" i="1"/>
  <c r="O50" i="1"/>
  <c r="Q51" i="1"/>
  <c r="X38" i="1"/>
  <c r="U38" i="1" s="1"/>
  <c r="O38" i="1" s="1"/>
  <c r="X37" i="1"/>
  <c r="U37" i="1" s="1"/>
  <c r="O37" i="1" s="1"/>
  <c r="X36" i="1"/>
  <c r="U36" i="1" s="1"/>
  <c r="O36" i="1" s="1"/>
  <c r="X35" i="1"/>
  <c r="U35" i="1" s="1"/>
  <c r="O35" i="1" s="1"/>
  <c r="X34" i="1"/>
  <c r="U34" i="1" s="1"/>
  <c r="O34" i="1" s="1"/>
  <c r="X33" i="1"/>
  <c r="U33" i="1" s="1"/>
  <c r="O33" i="1" s="1"/>
  <c r="X32" i="1"/>
  <c r="U32" i="1" s="1"/>
  <c r="O32" i="1" s="1"/>
  <c r="X31" i="1"/>
  <c r="U31" i="1" s="1"/>
  <c r="O31" i="1" s="1"/>
  <c r="X30" i="1"/>
  <c r="U30" i="1" s="1"/>
  <c r="O30" i="1" s="1"/>
  <c r="X29" i="1"/>
  <c r="U29" i="1" s="1"/>
  <c r="O29" i="1" s="1"/>
  <c r="X28" i="1"/>
  <c r="U28" i="1" s="1"/>
  <c r="O28" i="1" s="1"/>
  <c r="O26" i="1"/>
  <c r="O25" i="1"/>
  <c r="X24" i="1"/>
  <c r="U24" i="1" s="1"/>
  <c r="O24" i="1" s="1"/>
  <c r="X23" i="1"/>
  <c r="U23" i="1" s="1"/>
  <c r="X22" i="1"/>
  <c r="U22" i="1" s="1"/>
  <c r="X21" i="1"/>
  <c r="W38" i="1"/>
  <c r="W37" i="1"/>
  <c r="W36" i="1"/>
  <c r="W35" i="1"/>
  <c r="W34" i="1"/>
  <c r="W33" i="1"/>
  <c r="W32" i="1"/>
  <c r="W31" i="1"/>
  <c r="W30" i="1"/>
  <c r="W29" i="1"/>
  <c r="W28" i="1"/>
  <c r="W27" i="1"/>
  <c r="W24" i="1"/>
  <c r="W23" i="1"/>
  <c r="W22" i="1"/>
  <c r="W21" i="1"/>
  <c r="O22" i="1"/>
  <c r="AF27" i="1"/>
  <c r="Q7" i="1"/>
  <c r="AF61" i="1"/>
  <c r="AG61" i="1" s="1"/>
  <c r="AF60" i="1"/>
  <c r="AG60" i="1" s="1"/>
  <c r="AF59" i="1"/>
  <c r="AG59" i="1" s="1"/>
  <c r="G8" i="1"/>
  <c r="K14" i="1"/>
  <c r="AG15" i="1"/>
  <c r="R51" i="1" l="1"/>
  <c r="W39" i="1"/>
  <c r="Q39" i="1" s="1"/>
  <c r="Q40" i="1" s="1"/>
  <c r="X39" i="1"/>
  <c r="R39" i="1" s="1"/>
  <c r="R40" i="1" s="1"/>
  <c r="U21" i="1"/>
  <c r="U39" i="1" s="1"/>
  <c r="O39" i="1" s="1"/>
  <c r="AF58" i="1"/>
  <c r="AG58" i="1"/>
  <c r="A15" i="1" l="1"/>
  <c r="C9" i="1"/>
  <c r="AF24" i="1" l="1"/>
  <c r="L7" i="1"/>
  <c r="C8" i="1" l="1"/>
  <c r="D8" i="1"/>
  <c r="D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P18" i="1" l="1"/>
  <c r="F10" i="5"/>
  <c r="J10" i="5" s="1"/>
  <c r="D23" i="1"/>
  <c r="D31" i="1"/>
  <c r="D39" i="1"/>
  <c r="D47" i="1"/>
  <c r="D55" i="1"/>
  <c r="D63" i="1"/>
  <c r="D71" i="1"/>
  <c r="D79" i="1"/>
  <c r="D87" i="1"/>
  <c r="D95" i="1"/>
  <c r="D103" i="1"/>
  <c r="D111" i="1"/>
  <c r="D119" i="1"/>
  <c r="D127" i="1"/>
  <c r="D135" i="1"/>
  <c r="D143" i="1"/>
  <c r="D151" i="1"/>
  <c r="D159" i="1"/>
  <c r="D167" i="1"/>
  <c r="D175" i="1"/>
  <c r="D183" i="1"/>
  <c r="D191" i="1"/>
  <c r="D199" i="1"/>
  <c r="D207" i="1"/>
  <c r="D215" i="1"/>
  <c r="D223" i="1"/>
  <c r="D231" i="1"/>
  <c r="D239" i="1"/>
  <c r="D247" i="1"/>
  <c r="D255" i="1"/>
  <c r="D263" i="1"/>
  <c r="D271" i="1"/>
  <c r="D279" i="1"/>
  <c r="D287" i="1"/>
  <c r="D295" i="1"/>
  <c r="D303" i="1"/>
  <c r="D311" i="1"/>
  <c r="D319" i="1"/>
  <c r="D327" i="1"/>
  <c r="D335" i="1"/>
  <c r="D343" i="1"/>
  <c r="D351" i="1"/>
  <c r="D359" i="1"/>
  <c r="D367" i="1"/>
  <c r="D375" i="1"/>
  <c r="D24" i="1"/>
  <c r="D32" i="1"/>
  <c r="D40" i="1"/>
  <c r="D48" i="1"/>
  <c r="D56" i="1"/>
  <c r="D64" i="1"/>
  <c r="D72" i="1"/>
  <c r="D80" i="1"/>
  <c r="D88" i="1"/>
  <c r="D96" i="1"/>
  <c r="D104" i="1"/>
  <c r="D112" i="1"/>
  <c r="D120" i="1"/>
  <c r="D128" i="1"/>
  <c r="D136" i="1"/>
  <c r="D144" i="1"/>
  <c r="D152" i="1"/>
  <c r="D160" i="1"/>
  <c r="D168" i="1"/>
  <c r="D176" i="1"/>
  <c r="D184" i="1"/>
  <c r="D192" i="1"/>
  <c r="D200" i="1"/>
  <c r="D208" i="1"/>
  <c r="D216" i="1"/>
  <c r="D25" i="1"/>
  <c r="D33" i="1"/>
  <c r="D41" i="1"/>
  <c r="D49" i="1"/>
  <c r="D57" i="1"/>
  <c r="D65" i="1"/>
  <c r="D73" i="1"/>
  <c r="D81" i="1"/>
  <c r="D89" i="1"/>
  <c r="D97" i="1"/>
  <c r="D105" i="1"/>
  <c r="D113" i="1"/>
  <c r="D121" i="1"/>
  <c r="D129" i="1"/>
  <c r="D137" i="1"/>
  <c r="D145" i="1"/>
  <c r="D153" i="1"/>
  <c r="D161" i="1"/>
  <c r="D169" i="1"/>
  <c r="D177" i="1"/>
  <c r="D185" i="1"/>
  <c r="D193" i="1"/>
  <c r="D201" i="1"/>
  <c r="D209" i="1"/>
  <c r="D217" i="1"/>
  <c r="D225" i="1"/>
  <c r="D233" i="1"/>
  <c r="D241" i="1"/>
  <c r="D249" i="1"/>
  <c r="D257" i="1"/>
  <c r="D265" i="1"/>
  <c r="D273" i="1"/>
  <c r="D281" i="1"/>
  <c r="D289" i="1"/>
  <c r="D297" i="1"/>
  <c r="D305" i="1"/>
  <c r="D313" i="1"/>
  <c r="D321" i="1"/>
  <c r="D329" i="1"/>
  <c r="D337" i="1"/>
  <c r="D345" i="1"/>
  <c r="D353" i="1"/>
  <c r="D361" i="1"/>
  <c r="D369" i="1"/>
  <c r="D377" i="1"/>
  <c r="D53" i="1"/>
  <c r="D77" i="1"/>
  <c r="D109" i="1"/>
  <c r="D133" i="1"/>
  <c r="D165" i="1"/>
  <c r="D205" i="1"/>
  <c r="D237" i="1"/>
  <c r="D261" i="1"/>
  <c r="D301" i="1"/>
  <c r="D333" i="1"/>
  <c r="D365" i="1"/>
  <c r="D26" i="1"/>
  <c r="D34" i="1"/>
  <c r="D42" i="1"/>
  <c r="D50" i="1"/>
  <c r="D58" i="1"/>
  <c r="D66" i="1"/>
  <c r="D74" i="1"/>
  <c r="D82" i="1"/>
  <c r="D90" i="1"/>
  <c r="D98" i="1"/>
  <c r="D106" i="1"/>
  <c r="D114" i="1"/>
  <c r="D122" i="1"/>
  <c r="D130" i="1"/>
  <c r="D138" i="1"/>
  <c r="D146" i="1"/>
  <c r="D154" i="1"/>
  <c r="D162" i="1"/>
  <c r="D170" i="1"/>
  <c r="D178" i="1"/>
  <c r="D186" i="1"/>
  <c r="D194" i="1"/>
  <c r="D202" i="1"/>
  <c r="D210" i="1"/>
  <c r="D218" i="1"/>
  <c r="D226" i="1"/>
  <c r="D234" i="1"/>
  <c r="D242" i="1"/>
  <c r="D250" i="1"/>
  <c r="D258" i="1"/>
  <c r="D266" i="1"/>
  <c r="D274" i="1"/>
  <c r="D282" i="1"/>
  <c r="D290" i="1"/>
  <c r="D298" i="1"/>
  <c r="D306" i="1"/>
  <c r="D314" i="1"/>
  <c r="D322" i="1"/>
  <c r="D330" i="1"/>
  <c r="D338" i="1"/>
  <c r="D346" i="1"/>
  <c r="D354" i="1"/>
  <c r="D362" i="1"/>
  <c r="D370" i="1"/>
  <c r="D378" i="1"/>
  <c r="D45" i="1"/>
  <c r="D85" i="1"/>
  <c r="D117" i="1"/>
  <c r="D157" i="1"/>
  <c r="D197" i="1"/>
  <c r="D213" i="1"/>
  <c r="D245" i="1"/>
  <c r="D277" i="1"/>
  <c r="D309" i="1"/>
  <c r="D341" i="1"/>
  <c r="D373" i="1"/>
  <c r="D27" i="1"/>
  <c r="D35" i="1"/>
  <c r="D43" i="1"/>
  <c r="D51" i="1"/>
  <c r="D59" i="1"/>
  <c r="D67" i="1"/>
  <c r="D75" i="1"/>
  <c r="D83" i="1"/>
  <c r="D91" i="1"/>
  <c r="D99" i="1"/>
  <c r="D107" i="1"/>
  <c r="D115" i="1"/>
  <c r="D123" i="1"/>
  <c r="D131" i="1"/>
  <c r="D139" i="1"/>
  <c r="D147" i="1"/>
  <c r="D155" i="1"/>
  <c r="D163" i="1"/>
  <c r="D171" i="1"/>
  <c r="D179" i="1"/>
  <c r="D187" i="1"/>
  <c r="D195" i="1"/>
  <c r="D203" i="1"/>
  <c r="D211" i="1"/>
  <c r="D219" i="1"/>
  <c r="D227" i="1"/>
  <c r="D235" i="1"/>
  <c r="D243" i="1"/>
  <c r="D251" i="1"/>
  <c r="D259" i="1"/>
  <c r="D267" i="1"/>
  <c r="D275" i="1"/>
  <c r="D283" i="1"/>
  <c r="D291" i="1"/>
  <c r="D299" i="1"/>
  <c r="D307" i="1"/>
  <c r="D315" i="1"/>
  <c r="D323" i="1"/>
  <c r="D331" i="1"/>
  <c r="D339" i="1"/>
  <c r="D347" i="1"/>
  <c r="D355" i="1"/>
  <c r="D363" i="1"/>
  <c r="D371" i="1"/>
  <c r="D379" i="1"/>
  <c r="D37" i="1"/>
  <c r="D61" i="1"/>
  <c r="D69" i="1"/>
  <c r="D93" i="1"/>
  <c r="D125" i="1"/>
  <c r="D149" i="1"/>
  <c r="D181" i="1"/>
  <c r="D221" i="1"/>
  <c r="D253" i="1"/>
  <c r="D285" i="1"/>
  <c r="D317" i="1"/>
  <c r="D357" i="1"/>
  <c r="D28" i="1"/>
  <c r="D36" i="1"/>
  <c r="D44" i="1"/>
  <c r="D52" i="1"/>
  <c r="D60" i="1"/>
  <c r="D68" i="1"/>
  <c r="D76" i="1"/>
  <c r="D84" i="1"/>
  <c r="D92" i="1"/>
  <c r="D100" i="1"/>
  <c r="D108" i="1"/>
  <c r="D116" i="1"/>
  <c r="D124" i="1"/>
  <c r="D132" i="1"/>
  <c r="D140" i="1"/>
  <c r="D148" i="1"/>
  <c r="D156" i="1"/>
  <c r="D164" i="1"/>
  <c r="D172" i="1"/>
  <c r="D180" i="1"/>
  <c r="D188" i="1"/>
  <c r="D196" i="1"/>
  <c r="D204" i="1"/>
  <c r="D212" i="1"/>
  <c r="D220" i="1"/>
  <c r="D228" i="1"/>
  <c r="D236" i="1"/>
  <c r="D244" i="1"/>
  <c r="D252" i="1"/>
  <c r="D260" i="1"/>
  <c r="D268" i="1"/>
  <c r="D276" i="1"/>
  <c r="D284" i="1"/>
  <c r="D292" i="1"/>
  <c r="D300" i="1"/>
  <c r="D308" i="1"/>
  <c r="D316" i="1"/>
  <c r="D324" i="1"/>
  <c r="D332" i="1"/>
  <c r="D340" i="1"/>
  <c r="D348" i="1"/>
  <c r="D356" i="1"/>
  <c r="D364" i="1"/>
  <c r="D372" i="1"/>
  <c r="D21" i="1"/>
  <c r="D29" i="1"/>
  <c r="D101" i="1"/>
  <c r="D141" i="1"/>
  <c r="D173" i="1"/>
  <c r="D189" i="1"/>
  <c r="D229" i="1"/>
  <c r="D269" i="1"/>
  <c r="D293" i="1"/>
  <c r="D325" i="1"/>
  <c r="D349" i="1"/>
  <c r="D30" i="1"/>
  <c r="D94" i="1"/>
  <c r="D158" i="1"/>
  <c r="D222" i="1"/>
  <c r="D254" i="1"/>
  <c r="D286" i="1"/>
  <c r="D318" i="1"/>
  <c r="D350" i="1"/>
  <c r="D166" i="1"/>
  <c r="D46" i="1"/>
  <c r="D110" i="1"/>
  <c r="D174" i="1"/>
  <c r="D230" i="1"/>
  <c r="D262" i="1"/>
  <c r="D294" i="1"/>
  <c r="D326" i="1"/>
  <c r="D358" i="1"/>
  <c r="D246" i="1"/>
  <c r="D342" i="1"/>
  <c r="D150" i="1"/>
  <c r="D248" i="1"/>
  <c r="D344" i="1"/>
  <c r="D102" i="1"/>
  <c r="D320" i="1"/>
  <c r="D54" i="1"/>
  <c r="D118" i="1"/>
  <c r="D182" i="1"/>
  <c r="D232" i="1"/>
  <c r="D264" i="1"/>
  <c r="D296" i="1"/>
  <c r="D328" i="1"/>
  <c r="D360" i="1"/>
  <c r="D142" i="1"/>
  <c r="D374" i="1"/>
  <c r="D214" i="1"/>
  <c r="D280" i="1"/>
  <c r="D224" i="1"/>
  <c r="D62" i="1"/>
  <c r="D126" i="1"/>
  <c r="D190" i="1"/>
  <c r="D238" i="1"/>
  <c r="D270" i="1"/>
  <c r="D302" i="1"/>
  <c r="D334" i="1"/>
  <c r="D366" i="1"/>
  <c r="D206" i="1"/>
  <c r="D310" i="1"/>
  <c r="D86" i="1"/>
  <c r="D312" i="1"/>
  <c r="D256" i="1"/>
  <c r="D70" i="1"/>
  <c r="D134" i="1"/>
  <c r="D198" i="1"/>
  <c r="D240" i="1"/>
  <c r="D272" i="1"/>
  <c r="D304" i="1"/>
  <c r="D336" i="1"/>
  <c r="D368" i="1"/>
  <c r="D78" i="1"/>
  <c r="D278" i="1"/>
  <c r="D22" i="1"/>
  <c r="D376" i="1"/>
  <c r="D38" i="1"/>
  <c r="D288" i="1"/>
  <c r="D352" i="1"/>
  <c r="AG25" i="1"/>
  <c r="AG24" i="1" s="1"/>
  <c r="L14" i="1" s="1"/>
  <c r="L15" i="1" s="1"/>
  <c r="D20" i="1"/>
  <c r="O51" i="1"/>
  <c r="A20" i="1"/>
  <c r="B20" i="1" s="1"/>
  <c r="L11" i="1"/>
  <c r="L12" i="1" s="1"/>
  <c r="H12" i="1" s="1"/>
  <c r="L8" i="1"/>
  <c r="H11" i="1" s="1"/>
  <c r="K10" i="5" l="1"/>
  <c r="M10" i="5"/>
  <c r="M13" i="5"/>
  <c r="M11" i="5"/>
  <c r="J12" i="5"/>
  <c r="K12" i="5" s="1"/>
  <c r="J13" i="5"/>
  <c r="N10" i="5"/>
  <c r="O10" i="5" s="1"/>
  <c r="J11" i="5"/>
  <c r="K11" i="5" s="1"/>
  <c r="M12" i="5"/>
  <c r="Q6" i="1"/>
  <c r="H10" i="1" s="1"/>
  <c r="A21" i="1"/>
  <c r="A22" i="1" s="1"/>
  <c r="H13" i="1"/>
  <c r="C20" i="1"/>
  <c r="N13" i="5" l="1"/>
  <c r="O13" i="5" s="1"/>
  <c r="K13" i="5"/>
  <c r="N12" i="5"/>
  <c r="O12" i="5" s="1"/>
  <c r="H11" i="5"/>
  <c r="N11" i="5"/>
  <c r="O11" i="5" s="1"/>
  <c r="L16" i="5" s="1"/>
  <c r="L17" i="5" s="1"/>
  <c r="H14" i="1"/>
  <c r="F20" i="1"/>
  <c r="B21" i="1"/>
  <c r="A23" i="1"/>
  <c r="B22" i="1"/>
  <c r="H20" i="1"/>
  <c r="L20" i="1" s="1"/>
  <c r="O21" i="1" l="1"/>
  <c r="G20" i="1"/>
  <c r="A24" i="1"/>
  <c r="B23" i="1"/>
  <c r="O40" i="1" l="1"/>
  <c r="O18" i="1" s="1"/>
  <c r="Q18" i="1"/>
  <c r="A25" i="1"/>
  <c r="B24" i="1"/>
  <c r="K20" i="1"/>
  <c r="I20" i="1"/>
  <c r="C21" i="1" l="1"/>
  <c r="A26" i="1"/>
  <c r="B25" i="1"/>
  <c r="B26" i="1" l="1"/>
  <c r="A27" i="1"/>
  <c r="H21" i="1"/>
  <c r="L21" i="1" s="1"/>
  <c r="F21" i="1"/>
  <c r="G21" i="1" l="1"/>
  <c r="K21" i="1" s="1"/>
  <c r="A28" i="1"/>
  <c r="B27" i="1"/>
  <c r="I21" i="1" l="1"/>
  <c r="C22" i="1" s="1"/>
  <c r="B28" i="1"/>
  <c r="A29" i="1"/>
  <c r="H22" i="1" l="1"/>
  <c r="L22" i="1" s="1"/>
  <c r="F22" i="1"/>
  <c r="A30" i="1"/>
  <c r="B29" i="1"/>
  <c r="G22" i="1" l="1"/>
  <c r="K22" i="1" s="1"/>
  <c r="B30" i="1"/>
  <c r="A31" i="1"/>
  <c r="I22" i="1" l="1"/>
  <c r="C23" i="1" s="1"/>
  <c r="H23" i="1" s="1"/>
  <c r="L23" i="1" s="1"/>
  <c r="A32" i="1"/>
  <c r="B31" i="1"/>
  <c r="F23" i="1" l="1"/>
  <c r="G23" i="1" s="1"/>
  <c r="B32" i="1"/>
  <c r="A33" i="1"/>
  <c r="K23" i="1" l="1"/>
  <c r="I23" i="1"/>
  <c r="A34" i="1"/>
  <c r="B33" i="1"/>
  <c r="B34" i="1" l="1"/>
  <c r="A35" i="1"/>
  <c r="C24" i="1"/>
  <c r="H24" i="1" l="1"/>
  <c r="L24" i="1" s="1"/>
  <c r="F24" i="1"/>
  <c r="A36" i="1"/>
  <c r="B35" i="1"/>
  <c r="G24" i="1" l="1"/>
  <c r="K24" i="1" s="1"/>
  <c r="B36" i="1"/>
  <c r="A37" i="1"/>
  <c r="I24" i="1" l="1"/>
  <c r="C25" i="1" s="1"/>
  <c r="A38" i="1"/>
  <c r="B37" i="1"/>
  <c r="H25" i="1" l="1"/>
  <c r="L25" i="1" s="1"/>
  <c r="F25" i="1"/>
  <c r="B38" i="1"/>
  <c r="A39" i="1"/>
  <c r="A40" i="1" l="1"/>
  <c r="B39" i="1"/>
  <c r="G25" i="1"/>
  <c r="B40" i="1" l="1"/>
  <c r="A41" i="1"/>
  <c r="K25" i="1"/>
  <c r="I25" i="1"/>
  <c r="A42" i="1" l="1"/>
  <c r="B41" i="1"/>
  <c r="C26" i="1"/>
  <c r="H26" i="1" l="1"/>
  <c r="L26" i="1" s="1"/>
  <c r="F26" i="1"/>
  <c r="A43" i="1"/>
  <c r="B42" i="1"/>
  <c r="G26" i="1" l="1"/>
  <c r="K26" i="1" s="1"/>
  <c r="A44" i="1"/>
  <c r="B43" i="1"/>
  <c r="I26" i="1" l="1"/>
  <c r="C27" i="1" s="1"/>
  <c r="A45" i="1"/>
  <c r="B44" i="1"/>
  <c r="A46" i="1" l="1"/>
  <c r="B45" i="1"/>
  <c r="H27" i="1"/>
  <c r="L27" i="1" s="1"/>
  <c r="F27" i="1"/>
  <c r="G27" i="1" l="1"/>
  <c r="A47" i="1"/>
  <c r="B46" i="1"/>
  <c r="A48" i="1" l="1"/>
  <c r="B47" i="1"/>
  <c r="K27" i="1"/>
  <c r="I27" i="1"/>
  <c r="C28" i="1" l="1"/>
  <c r="A49" i="1"/>
  <c r="B48" i="1"/>
  <c r="F28" i="1" l="1"/>
  <c r="H28" i="1"/>
  <c r="L28" i="1" s="1"/>
  <c r="A50" i="1"/>
  <c r="B49" i="1"/>
  <c r="G28" i="1" l="1"/>
  <c r="A51" i="1"/>
  <c r="B50" i="1"/>
  <c r="K28" i="1" l="1"/>
  <c r="I28" i="1"/>
  <c r="B51" i="1"/>
  <c r="A52" i="1"/>
  <c r="C29" i="1" l="1"/>
  <c r="A53" i="1"/>
  <c r="B52" i="1"/>
  <c r="B53" i="1" l="1"/>
  <c r="A54" i="1"/>
  <c r="H29" i="1"/>
  <c r="L29" i="1" s="1"/>
  <c r="F29" i="1"/>
  <c r="G29" i="1" l="1"/>
  <c r="K29" i="1" s="1"/>
  <c r="A55" i="1"/>
  <c r="B54" i="1"/>
  <c r="I29" i="1" l="1"/>
  <c r="C30" i="1" s="1"/>
  <c r="H30" i="1" s="1"/>
  <c r="L30" i="1" s="1"/>
  <c r="B55" i="1"/>
  <c r="A56" i="1"/>
  <c r="F30" i="1" l="1"/>
  <c r="G30" i="1" s="1"/>
  <c r="K30" i="1" s="1"/>
  <c r="A57" i="1"/>
  <c r="B56" i="1"/>
  <c r="I30" i="1" l="1"/>
  <c r="C31" i="1" s="1"/>
  <c r="B57" i="1"/>
  <c r="A58" i="1"/>
  <c r="H31" i="1" l="1"/>
  <c r="L31" i="1" s="1"/>
  <c r="F31" i="1"/>
  <c r="A59" i="1"/>
  <c r="B58" i="1"/>
  <c r="G31" i="1" l="1"/>
  <c r="K31" i="1" s="1"/>
  <c r="B59" i="1"/>
  <c r="A60" i="1"/>
  <c r="I31" i="1" l="1"/>
  <c r="C32" i="1" s="1"/>
  <c r="H32" i="1" s="1"/>
  <c r="L32" i="1" s="1"/>
  <c r="A61" i="1"/>
  <c r="B60" i="1"/>
  <c r="F32" i="1" l="1"/>
  <c r="G32" i="1" s="1"/>
  <c r="K32" i="1" s="1"/>
  <c r="B61" i="1"/>
  <c r="A62" i="1"/>
  <c r="I32" i="1" l="1"/>
  <c r="C33" i="1" s="1"/>
  <c r="A63" i="1"/>
  <c r="B62" i="1"/>
  <c r="B63" i="1" l="1"/>
  <c r="A64" i="1"/>
  <c r="H33" i="1"/>
  <c r="L33" i="1" s="1"/>
  <c r="F33" i="1"/>
  <c r="G33" i="1" l="1"/>
  <c r="K33" i="1" s="1"/>
  <c r="A65" i="1"/>
  <c r="B64" i="1"/>
  <c r="I33" i="1" l="1"/>
  <c r="C34" i="1" s="1"/>
  <c r="B65" i="1"/>
  <c r="A66" i="1"/>
  <c r="F34" i="1" l="1"/>
  <c r="H34" i="1"/>
  <c r="L34" i="1" s="1"/>
  <c r="A67" i="1"/>
  <c r="B66" i="1"/>
  <c r="G34" i="1" l="1"/>
  <c r="B67" i="1"/>
  <c r="A68" i="1"/>
  <c r="A69" i="1" l="1"/>
  <c r="B68" i="1"/>
  <c r="K34" i="1"/>
  <c r="I34" i="1"/>
  <c r="C35" i="1" l="1"/>
  <c r="B69" i="1"/>
  <c r="A70" i="1"/>
  <c r="A71" i="1" l="1"/>
  <c r="B70" i="1"/>
  <c r="H35" i="1"/>
  <c r="L35" i="1" s="1"/>
  <c r="F35" i="1"/>
  <c r="G35" i="1" l="1"/>
  <c r="K35" i="1" s="1"/>
  <c r="B71" i="1"/>
  <c r="A72" i="1"/>
  <c r="I35" i="1" l="1"/>
  <c r="C36" i="1" s="1"/>
  <c r="F36" i="1" s="1"/>
  <c r="A73" i="1"/>
  <c r="B72" i="1"/>
  <c r="H36" i="1" l="1"/>
  <c r="L36" i="1" s="1"/>
  <c r="B73" i="1"/>
  <c r="A74" i="1"/>
  <c r="G36" i="1" l="1"/>
  <c r="K36" i="1" s="1"/>
  <c r="A75" i="1"/>
  <c r="B74" i="1"/>
  <c r="I36" i="1" l="1"/>
  <c r="C37" i="1" s="1"/>
  <c r="F37" i="1" s="1"/>
  <c r="B75" i="1"/>
  <c r="A76" i="1"/>
  <c r="H37" i="1" l="1"/>
  <c r="L37" i="1" s="1"/>
  <c r="A77" i="1"/>
  <c r="B76" i="1"/>
  <c r="G37" i="1" l="1"/>
  <c r="K37" i="1" s="1"/>
  <c r="B77" i="1"/>
  <c r="A78" i="1"/>
  <c r="I37" i="1" l="1"/>
  <c r="C38" i="1" s="1"/>
  <c r="A79" i="1"/>
  <c r="B78" i="1"/>
  <c r="H38" i="1" l="1"/>
  <c r="L38" i="1" s="1"/>
  <c r="F38" i="1"/>
  <c r="B79" i="1"/>
  <c r="A80" i="1"/>
  <c r="A81" i="1" l="1"/>
  <c r="B80" i="1"/>
  <c r="G38" i="1"/>
  <c r="K38" i="1" l="1"/>
  <c r="I38" i="1"/>
  <c r="B81" i="1"/>
  <c r="A82" i="1"/>
  <c r="C39" i="1" l="1"/>
  <c r="A83" i="1"/>
  <c r="B82" i="1"/>
  <c r="B83" i="1" l="1"/>
  <c r="A84" i="1"/>
  <c r="F39" i="1"/>
  <c r="H39" i="1"/>
  <c r="L39" i="1" s="1"/>
  <c r="A85" i="1" l="1"/>
  <c r="B84" i="1"/>
  <c r="G39" i="1"/>
  <c r="K39" i="1" l="1"/>
  <c r="I39" i="1"/>
  <c r="B85" i="1"/>
  <c r="A86" i="1"/>
  <c r="C40" i="1" l="1"/>
  <c r="A87" i="1"/>
  <c r="B86" i="1"/>
  <c r="B87" i="1" l="1"/>
  <c r="A88" i="1"/>
  <c r="F40" i="1"/>
  <c r="H40" i="1"/>
  <c r="L40" i="1" s="1"/>
  <c r="A89" i="1" l="1"/>
  <c r="B88" i="1"/>
  <c r="G40" i="1"/>
  <c r="K40" i="1" l="1"/>
  <c r="I40" i="1"/>
  <c r="B89" i="1"/>
  <c r="A90" i="1"/>
  <c r="C41" i="1" l="1"/>
  <c r="A91" i="1"/>
  <c r="B90" i="1"/>
  <c r="B91" i="1" l="1"/>
  <c r="A92" i="1"/>
  <c r="F41" i="1"/>
  <c r="H41" i="1"/>
  <c r="L41" i="1" s="1"/>
  <c r="A93" i="1" l="1"/>
  <c r="B92" i="1"/>
  <c r="G41" i="1"/>
  <c r="B93" i="1" l="1"/>
  <c r="A94" i="1"/>
  <c r="K41" i="1"/>
  <c r="I41" i="1"/>
  <c r="A95" i="1" l="1"/>
  <c r="B94" i="1"/>
  <c r="C42" i="1"/>
  <c r="A96" i="1" l="1"/>
  <c r="B95" i="1"/>
  <c r="H42" i="1"/>
  <c r="L42" i="1" s="1"/>
  <c r="F42" i="1"/>
  <c r="G42" i="1" l="1"/>
  <c r="K42" i="1" s="1"/>
  <c r="A97" i="1"/>
  <c r="B96" i="1"/>
  <c r="I42" i="1" l="1"/>
  <c r="C43" i="1" s="1"/>
  <c r="A98" i="1"/>
  <c r="B97" i="1"/>
  <c r="H43" i="1" l="1"/>
  <c r="L43" i="1" s="1"/>
  <c r="F43" i="1"/>
  <c r="A99" i="1"/>
  <c r="B98" i="1"/>
  <c r="G43" i="1" l="1"/>
  <c r="K43" i="1" s="1"/>
  <c r="A100" i="1"/>
  <c r="B99" i="1"/>
  <c r="I43" i="1" l="1"/>
  <c r="C44" i="1" s="1"/>
  <c r="A101" i="1"/>
  <c r="B100" i="1"/>
  <c r="F44" i="1" l="1"/>
  <c r="H44" i="1"/>
  <c r="L44" i="1" s="1"/>
  <c r="A102" i="1"/>
  <c r="B101" i="1"/>
  <c r="G44" i="1" l="1"/>
  <c r="K44" i="1" s="1"/>
  <c r="A103" i="1"/>
  <c r="B102" i="1"/>
  <c r="I44" i="1" l="1"/>
  <c r="C45" i="1" s="1"/>
  <c r="A104" i="1"/>
  <c r="B103" i="1"/>
  <c r="A105" i="1" l="1"/>
  <c r="B104" i="1"/>
  <c r="F45" i="1"/>
  <c r="H45" i="1"/>
  <c r="L45" i="1" s="1"/>
  <c r="G45" i="1" l="1"/>
  <c r="K45" i="1" s="1"/>
  <c r="A106" i="1"/>
  <c r="B105" i="1"/>
  <c r="I45" i="1" l="1"/>
  <c r="C46" i="1" s="1"/>
  <c r="F46" i="1" s="1"/>
  <c r="A107" i="1"/>
  <c r="B106" i="1"/>
  <c r="H46" i="1" l="1"/>
  <c r="L46" i="1" s="1"/>
  <c r="A108" i="1"/>
  <c r="B107" i="1"/>
  <c r="G46" i="1" l="1"/>
  <c r="A109" i="1"/>
  <c r="B108" i="1"/>
  <c r="K46" i="1" l="1"/>
  <c r="I46" i="1"/>
  <c r="C47" i="1" s="1"/>
  <c r="F47" i="1" s="1"/>
  <c r="A110" i="1"/>
  <c r="B109" i="1"/>
  <c r="H47" i="1" l="1"/>
  <c r="L47" i="1" s="1"/>
  <c r="A111" i="1"/>
  <c r="B110" i="1"/>
  <c r="G47" i="1" l="1"/>
  <c r="K47" i="1" s="1"/>
  <c r="A112" i="1"/>
  <c r="B111" i="1"/>
  <c r="I47" i="1" l="1"/>
  <c r="C48" i="1" s="1"/>
  <c r="A113" i="1"/>
  <c r="B112" i="1"/>
  <c r="A114" i="1" l="1"/>
  <c r="B113" i="1"/>
  <c r="H48" i="1"/>
  <c r="L48" i="1" s="1"/>
  <c r="F48" i="1"/>
  <c r="G48" i="1" l="1"/>
  <c r="K48" i="1" s="1"/>
  <c r="A115" i="1"/>
  <c r="B114" i="1"/>
  <c r="I48" i="1" l="1"/>
  <c r="C49" i="1" s="1"/>
  <c r="A116" i="1"/>
  <c r="B115" i="1"/>
  <c r="F49" i="1" l="1"/>
  <c r="H49" i="1"/>
  <c r="L49" i="1" s="1"/>
  <c r="A117" i="1"/>
  <c r="B116" i="1"/>
  <c r="G49" i="1" l="1"/>
  <c r="A118" i="1"/>
  <c r="B117" i="1"/>
  <c r="A119" i="1" l="1"/>
  <c r="B118" i="1"/>
  <c r="K49" i="1"/>
  <c r="I49" i="1"/>
  <c r="C50" i="1" l="1"/>
  <c r="A120" i="1"/>
  <c r="B119" i="1"/>
  <c r="H50" i="1" l="1"/>
  <c r="L50" i="1" s="1"/>
  <c r="F50" i="1"/>
  <c r="A121" i="1"/>
  <c r="B120" i="1"/>
  <c r="G50" i="1" l="1"/>
  <c r="A122" i="1"/>
  <c r="B121" i="1"/>
  <c r="K50" i="1" l="1"/>
  <c r="I50" i="1"/>
  <c r="A123" i="1"/>
  <c r="B122" i="1"/>
  <c r="A124" i="1" l="1"/>
  <c r="B123" i="1"/>
  <c r="C51" i="1"/>
  <c r="A125" i="1" l="1"/>
  <c r="B124" i="1"/>
  <c r="H51" i="1"/>
  <c r="L51" i="1" s="1"/>
  <c r="F51" i="1"/>
  <c r="G51" i="1" l="1"/>
  <c r="K51" i="1" s="1"/>
  <c r="A126" i="1"/>
  <c r="B125" i="1"/>
  <c r="I51" i="1" l="1"/>
  <c r="C52" i="1" s="1"/>
  <c r="H52" i="1" s="1"/>
  <c r="L52" i="1" s="1"/>
  <c r="A127" i="1"/>
  <c r="B126" i="1"/>
  <c r="F52" i="1" l="1"/>
  <c r="G52" i="1" s="1"/>
  <c r="K52" i="1" s="1"/>
  <c r="A128" i="1"/>
  <c r="B127" i="1"/>
  <c r="I52" i="1" l="1"/>
  <c r="C53" i="1" s="1"/>
  <c r="A129" i="1"/>
  <c r="B128" i="1"/>
  <c r="A130" i="1" l="1"/>
  <c r="B129" i="1"/>
  <c r="H53" i="1"/>
  <c r="L53" i="1" s="1"/>
  <c r="F53" i="1"/>
  <c r="G53" i="1" l="1"/>
  <c r="K53" i="1" s="1"/>
  <c r="A131" i="1"/>
  <c r="B130" i="1"/>
  <c r="I53" i="1" l="1"/>
  <c r="C54" i="1" s="1"/>
  <c r="H54" i="1" s="1"/>
  <c r="L54" i="1" s="1"/>
  <c r="A132" i="1"/>
  <c r="B131" i="1"/>
  <c r="F54" i="1" l="1"/>
  <c r="G54" i="1" s="1"/>
  <c r="K54" i="1" s="1"/>
  <c r="A133" i="1"/>
  <c r="B132" i="1"/>
  <c r="I54" i="1" l="1"/>
  <c r="C55" i="1" s="1"/>
  <c r="A134" i="1"/>
  <c r="B133" i="1"/>
  <c r="H55" i="1" l="1"/>
  <c r="L55" i="1" s="1"/>
  <c r="F55" i="1"/>
  <c r="A135" i="1"/>
  <c r="B134" i="1"/>
  <c r="G55" i="1" l="1"/>
  <c r="K55" i="1" s="1"/>
  <c r="A136" i="1"/>
  <c r="B135" i="1"/>
  <c r="I55" i="1" l="1"/>
  <c r="C56" i="1" s="1"/>
  <c r="H56" i="1" s="1"/>
  <c r="L56" i="1" s="1"/>
  <c r="A137" i="1"/>
  <c r="B136" i="1"/>
  <c r="F56" i="1" l="1"/>
  <c r="G56" i="1" s="1"/>
  <c r="K56" i="1" s="1"/>
  <c r="A138" i="1"/>
  <c r="B137" i="1"/>
  <c r="I56" i="1" l="1"/>
  <c r="C57" i="1" s="1"/>
  <c r="A139" i="1"/>
  <c r="B138" i="1"/>
  <c r="A140" i="1" l="1"/>
  <c r="B139" i="1"/>
  <c r="F57" i="1"/>
  <c r="H57" i="1"/>
  <c r="L57" i="1" s="1"/>
  <c r="A141" i="1" l="1"/>
  <c r="B140" i="1"/>
  <c r="G57" i="1"/>
  <c r="K57" i="1" l="1"/>
  <c r="I57" i="1"/>
  <c r="A142" i="1"/>
  <c r="B141" i="1"/>
  <c r="C58" i="1" l="1"/>
  <c r="A143" i="1"/>
  <c r="B142" i="1"/>
  <c r="A144" i="1" l="1"/>
  <c r="B143" i="1"/>
  <c r="H58" i="1"/>
  <c r="L58" i="1" s="1"/>
  <c r="F58" i="1"/>
  <c r="G58" i="1" l="1"/>
  <c r="K58" i="1" s="1"/>
  <c r="A145" i="1"/>
  <c r="B144" i="1"/>
  <c r="I58" i="1" l="1"/>
  <c r="C59" i="1" s="1"/>
  <c r="F59" i="1" s="1"/>
  <c r="A146" i="1"/>
  <c r="B145" i="1"/>
  <c r="H59" i="1" l="1"/>
  <c r="L59" i="1" s="1"/>
  <c r="A147" i="1"/>
  <c r="B146" i="1"/>
  <c r="G59" i="1" l="1"/>
  <c r="K59" i="1" s="1"/>
  <c r="A148" i="1"/>
  <c r="B147" i="1"/>
  <c r="I59" i="1" l="1"/>
  <c r="C60" i="1" s="1"/>
  <c r="A149" i="1"/>
  <c r="B148" i="1"/>
  <c r="A150" i="1" l="1"/>
  <c r="B149" i="1"/>
  <c r="F60" i="1"/>
  <c r="H60" i="1"/>
  <c r="L60" i="1" s="1"/>
  <c r="G60" i="1" l="1"/>
  <c r="K60" i="1" s="1"/>
  <c r="A151" i="1"/>
  <c r="B150" i="1"/>
  <c r="I60" i="1" l="1"/>
  <c r="C61" i="1" s="1"/>
  <c r="H61" i="1" s="1"/>
  <c r="L61" i="1" s="1"/>
  <c r="A152" i="1"/>
  <c r="B151" i="1"/>
  <c r="F61" i="1" l="1"/>
  <c r="G61" i="1" s="1"/>
  <c r="K61" i="1" s="1"/>
  <c r="A153" i="1"/>
  <c r="B152" i="1"/>
  <c r="I61" i="1" l="1"/>
  <c r="C62" i="1" s="1"/>
  <c r="A154" i="1"/>
  <c r="B153" i="1"/>
  <c r="A155" i="1" l="1"/>
  <c r="B154" i="1"/>
  <c r="H62" i="1"/>
  <c r="L62" i="1" s="1"/>
  <c r="F62" i="1"/>
  <c r="G62" i="1" l="1"/>
  <c r="K62" i="1" s="1"/>
  <c r="A156" i="1"/>
  <c r="B155" i="1"/>
  <c r="I62" i="1" l="1"/>
  <c r="C63" i="1" s="1"/>
  <c r="A157" i="1"/>
  <c r="B156" i="1"/>
  <c r="H63" i="1" l="1"/>
  <c r="L63" i="1" s="1"/>
  <c r="F63" i="1"/>
  <c r="A158" i="1"/>
  <c r="B157" i="1"/>
  <c r="G63" i="1" l="1"/>
  <c r="K63" i="1" s="1"/>
  <c r="A159" i="1"/>
  <c r="B158" i="1"/>
  <c r="I63" i="1" l="1"/>
  <c r="C64" i="1" s="1"/>
  <c r="A160" i="1"/>
  <c r="B159" i="1"/>
  <c r="A161" i="1" l="1"/>
  <c r="B160" i="1"/>
  <c r="H64" i="1"/>
  <c r="L64" i="1" s="1"/>
  <c r="F64" i="1"/>
  <c r="G64" i="1" l="1"/>
  <c r="K64" i="1" s="1"/>
  <c r="A162" i="1"/>
  <c r="B161" i="1"/>
  <c r="I64" i="1" l="1"/>
  <c r="C65" i="1" s="1"/>
  <c r="A163" i="1"/>
  <c r="B162" i="1"/>
  <c r="A164" i="1" l="1"/>
  <c r="B163" i="1"/>
  <c r="F65" i="1"/>
  <c r="H65" i="1"/>
  <c r="L65" i="1" s="1"/>
  <c r="A165" i="1" l="1"/>
  <c r="B164" i="1"/>
  <c r="G65" i="1"/>
  <c r="A166" i="1" l="1"/>
  <c r="B165" i="1"/>
  <c r="K65" i="1"/>
  <c r="I65" i="1"/>
  <c r="C66" i="1" l="1"/>
  <c r="A167" i="1"/>
  <c r="B166" i="1"/>
  <c r="A168" i="1" l="1"/>
  <c r="B167" i="1"/>
  <c r="H66" i="1"/>
  <c r="L66" i="1" s="1"/>
  <c r="F66" i="1"/>
  <c r="G66" i="1" l="1"/>
  <c r="A169" i="1"/>
  <c r="B168" i="1"/>
  <c r="A170" i="1" l="1"/>
  <c r="B169" i="1"/>
  <c r="K66" i="1"/>
  <c r="I66" i="1"/>
  <c r="A171" i="1" l="1"/>
  <c r="B170" i="1"/>
  <c r="C67" i="1"/>
  <c r="H67" i="1" l="1"/>
  <c r="L67" i="1" s="1"/>
  <c r="F67" i="1"/>
  <c r="A172" i="1"/>
  <c r="B171" i="1"/>
  <c r="G67" i="1" l="1"/>
  <c r="K67" i="1" s="1"/>
  <c r="A173" i="1"/>
  <c r="B172" i="1"/>
  <c r="I67" i="1" l="1"/>
  <c r="C68" i="1" s="1"/>
  <c r="B173" i="1"/>
  <c r="A174" i="1"/>
  <c r="B174" i="1" l="1"/>
  <c r="A175" i="1"/>
  <c r="H68" i="1"/>
  <c r="L68" i="1" s="1"/>
  <c r="F68" i="1"/>
  <c r="G68" i="1" l="1"/>
  <c r="K68" i="1" s="1"/>
  <c r="B175" i="1"/>
  <c r="A176" i="1"/>
  <c r="I68" i="1" l="1"/>
  <c r="C69" i="1" s="1"/>
  <c r="H69" i="1" s="1"/>
  <c r="L69" i="1" s="1"/>
  <c r="B176" i="1"/>
  <c r="A177" i="1"/>
  <c r="F69" i="1" l="1"/>
  <c r="G69" i="1" s="1"/>
  <c r="K69" i="1" s="1"/>
  <c r="B177" i="1"/>
  <c r="A178" i="1"/>
  <c r="I69" i="1" l="1"/>
  <c r="C70" i="1" s="1"/>
  <c r="A179" i="1"/>
  <c r="B178" i="1"/>
  <c r="B179" i="1" l="1"/>
  <c r="A180" i="1"/>
  <c r="H70" i="1"/>
  <c r="L70" i="1" s="1"/>
  <c r="F70" i="1"/>
  <c r="G70" i="1" l="1"/>
  <c r="K70" i="1" s="1"/>
  <c r="A181" i="1"/>
  <c r="B180" i="1"/>
  <c r="I70" i="1" l="1"/>
  <c r="C71" i="1" s="1"/>
  <c r="F71" i="1" s="1"/>
  <c r="B181" i="1"/>
  <c r="A182" i="1"/>
  <c r="H71" i="1" l="1"/>
  <c r="L71" i="1" s="1"/>
  <c r="B182" i="1"/>
  <c r="A183" i="1"/>
  <c r="G71" i="1" l="1"/>
  <c r="K71" i="1" s="1"/>
  <c r="B183" i="1"/>
  <c r="A184" i="1"/>
  <c r="I71" i="1" l="1"/>
  <c r="C72" i="1" s="1"/>
  <c r="B184" i="1"/>
  <c r="A185" i="1"/>
  <c r="B185" i="1" l="1"/>
  <c r="A186" i="1"/>
  <c r="H72" i="1"/>
  <c r="L72" i="1" s="1"/>
  <c r="F72" i="1"/>
  <c r="G72" i="1" l="1"/>
  <c r="K72" i="1" s="1"/>
  <c r="B186" i="1"/>
  <c r="A187" i="1"/>
  <c r="I72" i="1" l="1"/>
  <c r="C73" i="1" s="1"/>
  <c r="H73" i="1" s="1"/>
  <c r="L73" i="1" s="1"/>
  <c r="B187" i="1"/>
  <c r="A188" i="1"/>
  <c r="F73" i="1" l="1"/>
  <c r="G73" i="1" s="1"/>
  <c r="B188" i="1"/>
  <c r="A189" i="1"/>
  <c r="K73" i="1" l="1"/>
  <c r="I73" i="1"/>
  <c r="B189" i="1"/>
  <c r="A190" i="1"/>
  <c r="B190" i="1" l="1"/>
  <c r="A191" i="1"/>
  <c r="C74" i="1"/>
  <c r="B191" i="1" l="1"/>
  <c r="A192" i="1"/>
  <c r="F74" i="1"/>
  <c r="H74" i="1"/>
  <c r="L74" i="1" s="1"/>
  <c r="B192" i="1" l="1"/>
  <c r="A193" i="1"/>
  <c r="G74" i="1"/>
  <c r="K74" i="1" l="1"/>
  <c r="I74" i="1"/>
  <c r="B193" i="1"/>
  <c r="A194" i="1"/>
  <c r="A195" i="1" l="1"/>
  <c r="B194" i="1"/>
  <c r="C75" i="1"/>
  <c r="H75" i="1" l="1"/>
  <c r="L75" i="1" s="1"/>
  <c r="F75" i="1"/>
  <c r="B195" i="1"/>
  <c r="A196" i="1"/>
  <c r="G75" i="1" l="1"/>
  <c r="K75" i="1" s="1"/>
  <c r="A197" i="1"/>
  <c r="B196" i="1"/>
  <c r="I75" i="1" l="1"/>
  <c r="C76" i="1" s="1"/>
  <c r="B197" i="1"/>
  <c r="A198" i="1"/>
  <c r="A199" i="1" l="1"/>
  <c r="B198" i="1"/>
  <c r="F76" i="1"/>
  <c r="H76" i="1"/>
  <c r="L76" i="1" s="1"/>
  <c r="G76" i="1" l="1"/>
  <c r="K76" i="1" s="1"/>
  <c r="B199" i="1"/>
  <c r="A200" i="1"/>
  <c r="I76" i="1" l="1"/>
  <c r="C77" i="1" s="1"/>
  <c r="A201" i="1"/>
  <c r="B200" i="1"/>
  <c r="B201" i="1" l="1"/>
  <c r="A202" i="1"/>
  <c r="F77" i="1"/>
  <c r="H77" i="1"/>
  <c r="L77" i="1" s="1"/>
  <c r="A203" i="1" l="1"/>
  <c r="B202" i="1"/>
  <c r="G77" i="1"/>
  <c r="B203" i="1" l="1"/>
  <c r="A204" i="1"/>
  <c r="K77" i="1"/>
  <c r="I77" i="1"/>
  <c r="C78" i="1" l="1"/>
  <c r="A205" i="1"/>
  <c r="B204" i="1"/>
  <c r="H78" i="1" l="1"/>
  <c r="L78" i="1" s="1"/>
  <c r="F78" i="1"/>
  <c r="B205" i="1"/>
  <c r="A206" i="1"/>
  <c r="G78" i="1" l="1"/>
  <c r="K78" i="1" s="1"/>
  <c r="A207" i="1"/>
  <c r="B206" i="1"/>
  <c r="I78" i="1" l="1"/>
  <c r="C79" i="1" s="1"/>
  <c r="B207" i="1"/>
  <c r="A208" i="1"/>
  <c r="A209" i="1" l="1"/>
  <c r="B208" i="1"/>
  <c r="F79" i="1"/>
  <c r="H79" i="1"/>
  <c r="L79" i="1" s="1"/>
  <c r="B209" i="1" l="1"/>
  <c r="A210" i="1"/>
  <c r="G79" i="1"/>
  <c r="K79" i="1" l="1"/>
  <c r="I79" i="1"/>
  <c r="A211" i="1"/>
  <c r="B210" i="1"/>
  <c r="B211" i="1" l="1"/>
  <c r="A212" i="1"/>
  <c r="C80" i="1"/>
  <c r="H80" i="1" l="1"/>
  <c r="L80" i="1" s="1"/>
  <c r="F80" i="1"/>
  <c r="A213" i="1"/>
  <c r="B212" i="1"/>
  <c r="G80" i="1" l="1"/>
  <c r="K80" i="1" s="1"/>
  <c r="B213" i="1"/>
  <c r="A214" i="1"/>
  <c r="I80" i="1" l="1"/>
  <c r="C81" i="1" s="1"/>
  <c r="F81" i="1" s="1"/>
  <c r="A215" i="1"/>
  <c r="B214" i="1"/>
  <c r="H81" i="1" l="1"/>
  <c r="L81" i="1" s="1"/>
  <c r="B215" i="1"/>
  <c r="A216" i="1"/>
  <c r="G81" i="1" l="1"/>
  <c r="A217" i="1"/>
  <c r="B216" i="1"/>
  <c r="K81" i="1" l="1"/>
  <c r="I81" i="1"/>
  <c r="C82" i="1" s="1"/>
  <c r="F82" i="1" s="1"/>
  <c r="B217" i="1"/>
  <c r="A218" i="1"/>
  <c r="H82" i="1" l="1"/>
  <c r="L82" i="1" s="1"/>
  <c r="A219" i="1"/>
  <c r="B218" i="1"/>
  <c r="G82" i="1" l="1"/>
  <c r="K82" i="1" s="1"/>
  <c r="B219" i="1"/>
  <c r="A220" i="1"/>
  <c r="I82" i="1" l="1"/>
  <c r="C83" i="1" s="1"/>
  <c r="A221" i="1"/>
  <c r="B220" i="1"/>
  <c r="H83" i="1" l="1"/>
  <c r="L83" i="1" s="1"/>
  <c r="F83" i="1"/>
  <c r="B221" i="1"/>
  <c r="A222" i="1"/>
  <c r="G83" i="1" l="1"/>
  <c r="K83" i="1" s="1"/>
  <c r="A223" i="1"/>
  <c r="B222" i="1"/>
  <c r="I83" i="1" l="1"/>
  <c r="C84" i="1" s="1"/>
  <c r="B223" i="1"/>
  <c r="A224" i="1"/>
  <c r="H84" i="1" l="1"/>
  <c r="L84" i="1" s="1"/>
  <c r="F84" i="1"/>
  <c r="A225" i="1"/>
  <c r="B224" i="1"/>
  <c r="G84" i="1" l="1"/>
  <c r="K84" i="1" s="1"/>
  <c r="B225" i="1"/>
  <c r="A226" i="1"/>
  <c r="I84" i="1" l="1"/>
  <c r="C85" i="1" s="1"/>
  <c r="A227" i="1"/>
  <c r="B226" i="1"/>
  <c r="B227" i="1" l="1"/>
  <c r="A228" i="1"/>
  <c r="F85" i="1"/>
  <c r="H85" i="1"/>
  <c r="L85" i="1" s="1"/>
  <c r="G85" i="1" l="1"/>
  <c r="K85" i="1" s="1"/>
  <c r="A229" i="1"/>
  <c r="B228" i="1"/>
  <c r="I85" i="1" l="1"/>
  <c r="C86" i="1" s="1"/>
  <c r="B229" i="1"/>
  <c r="A230" i="1"/>
  <c r="A231" i="1" l="1"/>
  <c r="B230" i="1"/>
  <c r="F86" i="1"/>
  <c r="H86" i="1"/>
  <c r="L86" i="1" s="1"/>
  <c r="B231" i="1" l="1"/>
  <c r="A232" i="1"/>
  <c r="G86" i="1"/>
  <c r="K86" i="1" l="1"/>
  <c r="I86" i="1"/>
  <c r="A233" i="1"/>
  <c r="B232" i="1"/>
  <c r="C87" i="1" l="1"/>
  <c r="B233" i="1"/>
  <c r="A234" i="1"/>
  <c r="H87" i="1" l="1"/>
  <c r="L87" i="1" s="1"/>
  <c r="F87" i="1"/>
  <c r="A235" i="1"/>
  <c r="B234" i="1"/>
  <c r="G87" i="1" l="1"/>
  <c r="K87" i="1" s="1"/>
  <c r="B235" i="1"/>
  <c r="A236" i="1"/>
  <c r="I87" i="1" l="1"/>
  <c r="C88" i="1" s="1"/>
  <c r="A237" i="1"/>
  <c r="B236" i="1"/>
  <c r="H88" i="1" l="1"/>
  <c r="L88" i="1" s="1"/>
  <c r="F88" i="1"/>
  <c r="B237" i="1"/>
  <c r="A238" i="1"/>
  <c r="G88" i="1" l="1"/>
  <c r="K88" i="1" s="1"/>
  <c r="A239" i="1"/>
  <c r="B238" i="1"/>
  <c r="I88" i="1" l="1"/>
  <c r="C89" i="1" s="1"/>
  <c r="F89" i="1" s="1"/>
  <c r="B239" i="1"/>
  <c r="A240" i="1"/>
  <c r="H89" i="1" l="1"/>
  <c r="L89" i="1" s="1"/>
  <c r="A241" i="1"/>
  <c r="B240" i="1"/>
  <c r="G89" i="1" l="1"/>
  <c r="K89" i="1" s="1"/>
  <c r="B241" i="1"/>
  <c r="A242" i="1"/>
  <c r="I89" i="1" l="1"/>
  <c r="C90" i="1" s="1"/>
  <c r="F90" i="1" s="1"/>
  <c r="A243" i="1"/>
  <c r="B242" i="1"/>
  <c r="H90" i="1" l="1"/>
  <c r="L90" i="1" s="1"/>
  <c r="B243" i="1"/>
  <c r="A244" i="1"/>
  <c r="G90" i="1" l="1"/>
  <c r="K90" i="1" s="1"/>
  <c r="A245" i="1"/>
  <c r="B244" i="1"/>
  <c r="I90" i="1" l="1"/>
  <c r="C91" i="1" s="1"/>
  <c r="B245" i="1"/>
  <c r="A246" i="1"/>
  <c r="H91" i="1" l="1"/>
  <c r="L91" i="1" s="1"/>
  <c r="F91" i="1"/>
  <c r="A247" i="1"/>
  <c r="B246" i="1"/>
  <c r="G91" i="1" l="1"/>
  <c r="K91" i="1" s="1"/>
  <c r="B247" i="1"/>
  <c r="A248" i="1"/>
  <c r="I91" i="1" l="1"/>
  <c r="C92" i="1" s="1"/>
  <c r="A249" i="1"/>
  <c r="B248" i="1"/>
  <c r="F92" i="1" l="1"/>
  <c r="H92" i="1"/>
  <c r="L92" i="1" s="1"/>
  <c r="A250" i="1"/>
  <c r="B249" i="1"/>
  <c r="G92" i="1" l="1"/>
  <c r="B250" i="1"/>
  <c r="A251" i="1"/>
  <c r="K92" i="1" l="1"/>
  <c r="I92" i="1"/>
  <c r="A252" i="1"/>
  <c r="B251" i="1"/>
  <c r="B252" i="1" l="1"/>
  <c r="A253" i="1"/>
  <c r="C93" i="1"/>
  <c r="A254" i="1" l="1"/>
  <c r="B253" i="1"/>
  <c r="F93" i="1"/>
  <c r="H93" i="1"/>
  <c r="L93" i="1" s="1"/>
  <c r="G93" i="1" l="1"/>
  <c r="A255" i="1"/>
  <c r="B254" i="1"/>
  <c r="K93" i="1" l="1"/>
  <c r="I93" i="1"/>
  <c r="A256" i="1"/>
  <c r="B255" i="1"/>
  <c r="A257" i="1" l="1"/>
  <c r="B256" i="1"/>
  <c r="C94" i="1"/>
  <c r="H94" i="1" l="1"/>
  <c r="L94" i="1" s="1"/>
  <c r="F94" i="1"/>
  <c r="A258" i="1"/>
  <c r="B257" i="1"/>
  <c r="G94" i="1" l="1"/>
  <c r="K94" i="1" s="1"/>
  <c r="A259" i="1"/>
  <c r="B258" i="1"/>
  <c r="I94" i="1" l="1"/>
  <c r="C95" i="1" s="1"/>
  <c r="A260" i="1"/>
  <c r="B259" i="1"/>
  <c r="A261" i="1" l="1"/>
  <c r="B260" i="1"/>
  <c r="H95" i="1"/>
  <c r="L95" i="1" s="1"/>
  <c r="F95" i="1"/>
  <c r="G95" i="1" l="1"/>
  <c r="K95" i="1" s="1"/>
  <c r="A262" i="1"/>
  <c r="B261" i="1"/>
  <c r="I95" i="1" l="1"/>
  <c r="C96" i="1" s="1"/>
  <c r="A263" i="1"/>
  <c r="B262" i="1"/>
  <c r="F96" i="1" l="1"/>
  <c r="H96" i="1"/>
  <c r="L96" i="1" s="1"/>
  <c r="A264" i="1"/>
  <c r="B263" i="1"/>
  <c r="G96" i="1" l="1"/>
  <c r="A265" i="1"/>
  <c r="B264" i="1"/>
  <c r="K96" i="1" l="1"/>
  <c r="I96" i="1"/>
  <c r="A266" i="1"/>
  <c r="B265" i="1"/>
  <c r="A267" i="1" l="1"/>
  <c r="B266" i="1"/>
  <c r="C97" i="1"/>
  <c r="A268" i="1" l="1"/>
  <c r="B267" i="1"/>
  <c r="H97" i="1"/>
  <c r="L97" i="1" s="1"/>
  <c r="F97" i="1"/>
  <c r="G97" i="1" l="1"/>
  <c r="K97" i="1" s="1"/>
  <c r="A269" i="1"/>
  <c r="B268" i="1"/>
  <c r="I97" i="1" l="1"/>
  <c r="C98" i="1" s="1"/>
  <c r="A270" i="1"/>
  <c r="B269" i="1"/>
  <c r="A271" i="1" l="1"/>
  <c r="B270" i="1"/>
  <c r="F98" i="1"/>
  <c r="H98" i="1"/>
  <c r="L98" i="1" s="1"/>
  <c r="G98" i="1" l="1"/>
  <c r="A272" i="1"/>
  <c r="B271" i="1"/>
  <c r="A273" i="1" l="1"/>
  <c r="B272" i="1"/>
  <c r="K98" i="1"/>
  <c r="I98" i="1"/>
  <c r="A274" i="1" l="1"/>
  <c r="B273" i="1"/>
  <c r="C99" i="1"/>
  <c r="H99" i="1" l="1"/>
  <c r="L99" i="1" s="1"/>
  <c r="F99" i="1"/>
  <c r="A275" i="1"/>
  <c r="B274" i="1"/>
  <c r="G99" i="1" l="1"/>
  <c r="K99" i="1" s="1"/>
  <c r="A276" i="1"/>
  <c r="B275" i="1"/>
  <c r="I99" i="1" l="1"/>
  <c r="C100" i="1" s="1"/>
  <c r="A277" i="1"/>
  <c r="B276" i="1"/>
  <c r="A278" i="1" l="1"/>
  <c r="B277" i="1"/>
  <c r="F100" i="1"/>
  <c r="H100" i="1"/>
  <c r="L100" i="1" s="1"/>
  <c r="G100" i="1" l="1"/>
  <c r="K100" i="1" s="1"/>
  <c r="A279" i="1"/>
  <c r="B278" i="1"/>
  <c r="I100" i="1" l="1"/>
  <c r="C101" i="1" s="1"/>
  <c r="F101" i="1" s="1"/>
  <c r="A280" i="1"/>
  <c r="B279" i="1"/>
  <c r="H101" i="1" l="1"/>
  <c r="L101" i="1" s="1"/>
  <c r="A281" i="1"/>
  <c r="B280" i="1"/>
  <c r="G101" i="1" l="1"/>
  <c r="A282" i="1"/>
  <c r="B281" i="1"/>
  <c r="K101" i="1" l="1"/>
  <c r="I101" i="1"/>
  <c r="C102" i="1" s="1"/>
  <c r="H102" i="1" s="1"/>
  <c r="L102" i="1" s="1"/>
  <c r="A283" i="1"/>
  <c r="B282" i="1"/>
  <c r="F102" i="1" l="1"/>
  <c r="G102" i="1" s="1"/>
  <c r="K102" i="1" s="1"/>
  <c r="A284" i="1"/>
  <c r="B283" i="1"/>
  <c r="I102" i="1" l="1"/>
  <c r="C103" i="1" s="1"/>
  <c r="A285" i="1"/>
  <c r="B284" i="1"/>
  <c r="A286" i="1" l="1"/>
  <c r="B285" i="1"/>
  <c r="F103" i="1"/>
  <c r="H103" i="1"/>
  <c r="L103" i="1" s="1"/>
  <c r="G103" i="1" l="1"/>
  <c r="A287" i="1"/>
  <c r="B286" i="1"/>
  <c r="K103" i="1" l="1"/>
  <c r="I103" i="1"/>
  <c r="A288" i="1"/>
  <c r="B287" i="1"/>
  <c r="A289" i="1" l="1"/>
  <c r="B288" i="1"/>
  <c r="C104" i="1"/>
  <c r="A290" i="1" l="1"/>
  <c r="B289" i="1"/>
  <c r="F104" i="1"/>
  <c r="H104" i="1"/>
  <c r="L104" i="1" s="1"/>
  <c r="G104" i="1" l="1"/>
  <c r="K104" i="1" s="1"/>
  <c r="A291" i="1"/>
  <c r="B290" i="1"/>
  <c r="I104" i="1" l="1"/>
  <c r="C105" i="1" s="1"/>
  <c r="H105" i="1" s="1"/>
  <c r="L105" i="1" s="1"/>
  <c r="A292" i="1"/>
  <c r="B291" i="1"/>
  <c r="F105" i="1" l="1"/>
  <c r="G105" i="1" s="1"/>
  <c r="A293" i="1"/>
  <c r="B292" i="1"/>
  <c r="A294" i="1" l="1"/>
  <c r="B293" i="1"/>
  <c r="K105" i="1"/>
  <c r="I105" i="1"/>
  <c r="C106" i="1" l="1"/>
  <c r="A295" i="1"/>
  <c r="B294" i="1"/>
  <c r="A296" i="1" l="1"/>
  <c r="B295" i="1"/>
  <c r="H106" i="1"/>
  <c r="L106" i="1" s="1"/>
  <c r="F106" i="1"/>
  <c r="G106" i="1" l="1"/>
  <c r="K106" i="1" s="1"/>
  <c r="A297" i="1"/>
  <c r="B296" i="1"/>
  <c r="I106" i="1" l="1"/>
  <c r="C107" i="1" s="1"/>
  <c r="A298" i="1"/>
  <c r="B297" i="1"/>
  <c r="H107" i="1" l="1"/>
  <c r="L107" i="1" s="1"/>
  <c r="F107" i="1"/>
  <c r="A299" i="1"/>
  <c r="B298" i="1"/>
  <c r="G107" i="1" l="1"/>
  <c r="K107" i="1" s="1"/>
  <c r="A300" i="1"/>
  <c r="B299" i="1"/>
  <c r="I107" i="1" l="1"/>
  <c r="C108" i="1" s="1"/>
  <c r="F108" i="1" s="1"/>
  <c r="A301" i="1"/>
  <c r="B300" i="1"/>
  <c r="H108" i="1" l="1"/>
  <c r="L108" i="1" s="1"/>
  <c r="A302" i="1"/>
  <c r="B301" i="1"/>
  <c r="G108" i="1" l="1"/>
  <c r="K108" i="1" s="1"/>
  <c r="A303" i="1"/>
  <c r="B302" i="1"/>
  <c r="I108" i="1" l="1"/>
  <c r="C109" i="1" s="1"/>
  <c r="H109" i="1" s="1"/>
  <c r="L109" i="1" s="1"/>
  <c r="A304" i="1"/>
  <c r="B303" i="1"/>
  <c r="F109" i="1" l="1"/>
  <c r="G109" i="1" s="1"/>
  <c r="K109" i="1" s="1"/>
  <c r="A305" i="1"/>
  <c r="B304" i="1"/>
  <c r="I109" i="1" l="1"/>
  <c r="C110" i="1" s="1"/>
  <c r="A306" i="1"/>
  <c r="B305" i="1"/>
  <c r="A307" i="1" l="1"/>
  <c r="B306" i="1"/>
  <c r="F110" i="1"/>
  <c r="H110" i="1"/>
  <c r="L110" i="1" s="1"/>
  <c r="B307" i="1" l="1"/>
  <c r="A308" i="1"/>
  <c r="G110" i="1"/>
  <c r="K110" i="1" l="1"/>
  <c r="I110" i="1"/>
  <c r="A309" i="1"/>
  <c r="B308" i="1"/>
  <c r="C111" i="1" l="1"/>
  <c r="B309" i="1"/>
  <c r="A310" i="1"/>
  <c r="H111" i="1" l="1"/>
  <c r="L111" i="1" s="1"/>
  <c r="F111" i="1"/>
  <c r="A311" i="1"/>
  <c r="B310" i="1"/>
  <c r="G111" i="1" l="1"/>
  <c r="K111" i="1" s="1"/>
  <c r="B311" i="1"/>
  <c r="A312" i="1"/>
  <c r="I111" i="1" l="1"/>
  <c r="C112" i="1" s="1"/>
  <c r="A313" i="1"/>
  <c r="B312" i="1"/>
  <c r="H112" i="1" l="1"/>
  <c r="L112" i="1" s="1"/>
  <c r="F112" i="1"/>
  <c r="B313" i="1"/>
  <c r="A314" i="1"/>
  <c r="G112" i="1" l="1"/>
  <c r="K112" i="1" s="1"/>
  <c r="A315" i="1"/>
  <c r="B314" i="1"/>
  <c r="I112" i="1" l="1"/>
  <c r="C113" i="1" s="1"/>
  <c r="B315" i="1"/>
  <c r="A316" i="1"/>
  <c r="A317" i="1" l="1"/>
  <c r="B316" i="1"/>
  <c r="H113" i="1"/>
  <c r="L113" i="1" s="1"/>
  <c r="F113" i="1"/>
  <c r="G113" i="1" l="1"/>
  <c r="K113" i="1" s="1"/>
  <c r="B317" i="1"/>
  <c r="A318" i="1"/>
  <c r="I113" i="1" l="1"/>
  <c r="C114" i="1" s="1"/>
  <c r="A319" i="1"/>
  <c r="B318" i="1"/>
  <c r="F114" i="1" l="1"/>
  <c r="H114" i="1"/>
  <c r="L114" i="1" s="1"/>
  <c r="B319" i="1"/>
  <c r="A320" i="1"/>
  <c r="G114" i="1" l="1"/>
  <c r="A321" i="1"/>
  <c r="B320" i="1"/>
  <c r="K114" i="1" l="1"/>
  <c r="I114" i="1"/>
  <c r="B321" i="1"/>
  <c r="A322" i="1"/>
  <c r="C115" i="1" l="1"/>
  <c r="A323" i="1"/>
  <c r="B322" i="1"/>
  <c r="F115" i="1" l="1"/>
  <c r="H115" i="1"/>
  <c r="L115" i="1" s="1"/>
  <c r="B323" i="1"/>
  <c r="A324" i="1"/>
  <c r="G115" i="1" l="1"/>
  <c r="A325" i="1"/>
  <c r="B324" i="1"/>
  <c r="K115" i="1" l="1"/>
  <c r="I115" i="1"/>
  <c r="B325" i="1"/>
  <c r="A326" i="1"/>
  <c r="C116" i="1" l="1"/>
  <c r="A327" i="1"/>
  <c r="B326" i="1"/>
  <c r="H116" i="1" l="1"/>
  <c r="L116" i="1" s="1"/>
  <c r="F116" i="1"/>
  <c r="B327" i="1"/>
  <c r="A328" i="1"/>
  <c r="G116" i="1" l="1"/>
  <c r="K116" i="1" s="1"/>
  <c r="A329" i="1"/>
  <c r="B328" i="1"/>
  <c r="I116" i="1" l="1"/>
  <c r="C117" i="1" s="1"/>
  <c r="B329" i="1"/>
  <c r="A330" i="1"/>
  <c r="A331" i="1" l="1"/>
  <c r="B330" i="1"/>
  <c r="H117" i="1"/>
  <c r="L117" i="1" s="1"/>
  <c r="F117" i="1"/>
  <c r="G117" i="1" l="1"/>
  <c r="K117" i="1" s="1"/>
  <c r="B331" i="1"/>
  <c r="A332" i="1"/>
  <c r="I117" i="1" l="1"/>
  <c r="C118" i="1" s="1"/>
  <c r="F118" i="1" s="1"/>
  <c r="A333" i="1"/>
  <c r="B332" i="1"/>
  <c r="H118" i="1" l="1"/>
  <c r="L118" i="1" s="1"/>
  <c r="B333" i="1"/>
  <c r="A334" i="1"/>
  <c r="G118" i="1" l="1"/>
  <c r="K118" i="1" s="1"/>
  <c r="A335" i="1"/>
  <c r="B334" i="1"/>
  <c r="I118" i="1" l="1"/>
  <c r="C119" i="1" s="1"/>
  <c r="B335" i="1"/>
  <c r="A336" i="1"/>
  <c r="H119" i="1" l="1"/>
  <c r="L119" i="1" s="1"/>
  <c r="F119" i="1"/>
  <c r="A337" i="1"/>
  <c r="B336" i="1"/>
  <c r="G119" i="1" l="1"/>
  <c r="K119" i="1" s="1"/>
  <c r="B337" i="1"/>
  <c r="A338" i="1"/>
  <c r="I119" i="1" l="1"/>
  <c r="C120" i="1" s="1"/>
  <c r="A339" i="1"/>
  <c r="B338" i="1"/>
  <c r="A340" i="1" l="1"/>
  <c r="B339" i="1"/>
  <c r="H120" i="1"/>
  <c r="L120" i="1" s="1"/>
  <c r="F120" i="1"/>
  <c r="G120" i="1" l="1"/>
  <c r="K120" i="1" s="1"/>
  <c r="A341" i="1"/>
  <c r="B340" i="1"/>
  <c r="I120" i="1" l="1"/>
  <c r="C121" i="1" s="1"/>
  <c r="B341" i="1"/>
  <c r="A342" i="1"/>
  <c r="H121" i="1" l="1"/>
  <c r="L121" i="1" s="1"/>
  <c r="F121" i="1"/>
  <c r="A343" i="1"/>
  <c r="B342" i="1"/>
  <c r="G121" i="1" l="1"/>
  <c r="K121" i="1" s="1"/>
  <c r="B343" i="1"/>
  <c r="A344" i="1"/>
  <c r="I121" i="1" l="1"/>
  <c r="C122" i="1" s="1"/>
  <c r="F122" i="1" s="1"/>
  <c r="A345" i="1"/>
  <c r="B344" i="1"/>
  <c r="H122" i="1" l="1"/>
  <c r="L122" i="1" s="1"/>
  <c r="B345" i="1"/>
  <c r="A346" i="1"/>
  <c r="G122" i="1" l="1"/>
  <c r="A347" i="1"/>
  <c r="B346" i="1"/>
  <c r="K122" i="1" l="1"/>
  <c r="I122" i="1"/>
  <c r="C123" i="1" s="1"/>
  <c r="H123" i="1" s="1"/>
  <c r="L123" i="1" s="1"/>
  <c r="B347" i="1"/>
  <c r="A348" i="1"/>
  <c r="F123" i="1" l="1"/>
  <c r="G123" i="1" s="1"/>
  <c r="K123" i="1" s="1"/>
  <c r="A349" i="1"/>
  <c r="B348" i="1"/>
  <c r="I123" i="1" l="1"/>
  <c r="C124" i="1" s="1"/>
  <c r="B349" i="1"/>
  <c r="A350" i="1"/>
  <c r="F124" i="1" l="1"/>
  <c r="H124" i="1"/>
  <c r="L124" i="1" s="1"/>
  <c r="A351" i="1"/>
  <c r="B350" i="1"/>
  <c r="G124" i="1" l="1"/>
  <c r="B351" i="1"/>
  <c r="A352" i="1"/>
  <c r="K124" i="1" l="1"/>
  <c r="I124" i="1"/>
  <c r="C125" i="1" s="1"/>
  <c r="F125" i="1" s="1"/>
  <c r="A353" i="1"/>
  <c r="B352" i="1"/>
  <c r="H125" i="1" l="1"/>
  <c r="L125" i="1" s="1"/>
  <c r="B353" i="1"/>
  <c r="A354" i="1"/>
  <c r="G125" i="1" l="1"/>
  <c r="K125" i="1" s="1"/>
  <c r="A355" i="1"/>
  <c r="B354" i="1"/>
  <c r="I125" i="1" l="1"/>
  <c r="C126" i="1" s="1"/>
  <c r="B355" i="1"/>
  <c r="A356" i="1"/>
  <c r="F126" i="1" l="1"/>
  <c r="H126" i="1"/>
  <c r="L126" i="1" s="1"/>
  <c r="A357" i="1"/>
  <c r="B356" i="1"/>
  <c r="B357" i="1" l="1"/>
  <c r="A358" i="1"/>
  <c r="G126" i="1"/>
  <c r="K126" i="1" l="1"/>
  <c r="I126" i="1"/>
  <c r="A359" i="1"/>
  <c r="B358" i="1"/>
  <c r="B359" i="1" l="1"/>
  <c r="A360" i="1"/>
  <c r="C127" i="1"/>
  <c r="H127" i="1" l="1"/>
  <c r="L127" i="1" s="1"/>
  <c r="F127" i="1"/>
  <c r="A361" i="1"/>
  <c r="B360" i="1"/>
  <c r="G127" i="1" l="1"/>
  <c r="K127" i="1" s="1"/>
  <c r="B361" i="1"/>
  <c r="A362" i="1"/>
  <c r="I127" i="1" l="1"/>
  <c r="C128" i="1" s="1"/>
  <c r="H128" i="1" s="1"/>
  <c r="L128" i="1" s="1"/>
  <c r="A363" i="1"/>
  <c r="B362" i="1"/>
  <c r="F128" i="1" l="1"/>
  <c r="G128" i="1" s="1"/>
  <c r="K128" i="1" s="1"/>
  <c r="B363" i="1"/>
  <c r="A364" i="1"/>
  <c r="I128" i="1" l="1"/>
  <c r="C129" i="1" s="1"/>
  <c r="A365" i="1"/>
  <c r="B364" i="1"/>
  <c r="H129" i="1" l="1"/>
  <c r="L129" i="1" s="1"/>
  <c r="F129" i="1"/>
  <c r="B365" i="1"/>
  <c r="A366" i="1"/>
  <c r="G129" i="1" l="1"/>
  <c r="K129" i="1" s="1"/>
  <c r="A367" i="1"/>
  <c r="B366" i="1"/>
  <c r="I129" i="1" l="1"/>
  <c r="C130" i="1" s="1"/>
  <c r="B367" i="1"/>
  <c r="A368" i="1"/>
  <c r="A369" i="1" l="1"/>
  <c r="B368" i="1"/>
  <c r="F130" i="1"/>
  <c r="H130" i="1"/>
  <c r="L130" i="1" s="1"/>
  <c r="B369" i="1" l="1"/>
  <c r="A370" i="1"/>
  <c r="G130" i="1"/>
  <c r="A371" i="1" l="1"/>
  <c r="B370" i="1"/>
  <c r="K130" i="1"/>
  <c r="I130" i="1"/>
  <c r="B371" i="1" l="1"/>
  <c r="A372" i="1"/>
  <c r="C131" i="1"/>
  <c r="H131" i="1" l="1"/>
  <c r="L131" i="1" s="1"/>
  <c r="F131" i="1"/>
  <c r="A373" i="1"/>
  <c r="B372" i="1"/>
  <c r="G131" i="1" l="1"/>
  <c r="K131" i="1" s="1"/>
  <c r="A374" i="1"/>
  <c r="B373" i="1"/>
  <c r="I131" i="1" l="1"/>
  <c r="C132" i="1" s="1"/>
  <c r="A375" i="1"/>
  <c r="B374" i="1"/>
  <c r="F132" i="1" l="1"/>
  <c r="H132" i="1"/>
  <c r="L132" i="1" s="1"/>
  <c r="B375" i="1"/>
  <c r="A376" i="1"/>
  <c r="A377" i="1" l="1"/>
  <c r="B376" i="1"/>
  <c r="G132" i="1"/>
  <c r="B377" i="1" l="1"/>
  <c r="A378" i="1"/>
  <c r="K132" i="1"/>
  <c r="I132" i="1"/>
  <c r="C133" i="1" l="1"/>
  <c r="A379" i="1"/>
  <c r="B378" i="1"/>
  <c r="F133" i="1" l="1"/>
  <c r="H133" i="1"/>
  <c r="L133" i="1" s="1"/>
  <c r="B379" i="1"/>
  <c r="G133" i="1" l="1"/>
  <c r="K133" i="1" l="1"/>
  <c r="I133" i="1"/>
  <c r="C134" i="1" l="1"/>
  <c r="H134" i="1" l="1"/>
  <c r="L134" i="1" s="1"/>
  <c r="F134" i="1"/>
  <c r="G134" i="1" l="1"/>
  <c r="K134" i="1" s="1"/>
  <c r="I134" i="1" l="1"/>
  <c r="C135" i="1" s="1"/>
  <c r="H135" i="1" s="1"/>
  <c r="L135" i="1" s="1"/>
  <c r="F135" i="1" l="1"/>
  <c r="G135" i="1" s="1"/>
  <c r="K135" i="1" l="1"/>
  <c r="I135" i="1"/>
  <c r="C136" i="1" l="1"/>
  <c r="F136" i="1" l="1"/>
  <c r="H136" i="1"/>
  <c r="L136" i="1" s="1"/>
  <c r="G136" i="1" l="1"/>
  <c r="K136" i="1" s="1"/>
  <c r="I136" i="1" l="1"/>
  <c r="C137" i="1" s="1"/>
  <c r="H137" i="1" s="1"/>
  <c r="L137" i="1" s="1"/>
  <c r="F137" i="1" l="1"/>
  <c r="G137" i="1" s="1"/>
  <c r="K137" i="1" l="1"/>
  <c r="I137" i="1"/>
  <c r="C138" i="1" l="1"/>
  <c r="H138" i="1" l="1"/>
  <c r="L138" i="1" s="1"/>
  <c r="F138" i="1"/>
  <c r="G138" i="1" l="1"/>
  <c r="K138" i="1" s="1"/>
  <c r="I138" i="1" l="1"/>
  <c r="C139" i="1" s="1"/>
  <c r="H139" i="1" l="1"/>
  <c r="L139" i="1" s="1"/>
  <c r="F139" i="1"/>
  <c r="G139" i="1" l="1"/>
  <c r="K139" i="1" l="1"/>
  <c r="I139" i="1"/>
  <c r="C140" i="1" l="1"/>
  <c r="F140" i="1" l="1"/>
  <c r="H140" i="1"/>
  <c r="L140" i="1" s="1"/>
  <c r="G140" i="1" l="1"/>
  <c r="K140" i="1" l="1"/>
  <c r="I140" i="1"/>
  <c r="C141" i="1" s="1"/>
  <c r="F141" i="1" l="1"/>
  <c r="H141" i="1"/>
  <c r="L141" i="1" s="1"/>
  <c r="G141" i="1" l="1"/>
  <c r="K141" i="1" l="1"/>
  <c r="I141" i="1"/>
  <c r="C142" i="1" s="1"/>
  <c r="H142" i="1" l="1"/>
  <c r="L142" i="1" s="1"/>
  <c r="F142" i="1"/>
  <c r="G142" i="1" l="1"/>
  <c r="I142" i="1" l="1"/>
  <c r="C143" i="1" s="1"/>
  <c r="F143" i="1" s="1"/>
  <c r="K142" i="1"/>
  <c r="H143" i="1" l="1"/>
  <c r="L143" i="1" s="1"/>
  <c r="G143" i="1" l="1"/>
  <c r="K143" i="1" s="1"/>
  <c r="I143" i="1" l="1"/>
  <c r="C144" i="1" s="1"/>
  <c r="H144" i="1" s="1"/>
  <c r="L144" i="1" s="1"/>
  <c r="F144" i="1" l="1"/>
  <c r="G144" i="1" s="1"/>
  <c r="K144" i="1" l="1"/>
  <c r="I144" i="1"/>
  <c r="C145" i="1" s="1"/>
  <c r="H145" i="1" s="1"/>
  <c r="L145" i="1" s="1"/>
  <c r="F145" i="1" l="1"/>
  <c r="G145" i="1" s="1"/>
  <c r="K145" i="1" s="1"/>
  <c r="I145" i="1" l="1"/>
  <c r="C146" i="1" s="1"/>
  <c r="H146" i="1" l="1"/>
  <c r="L146" i="1" s="1"/>
  <c r="F146" i="1"/>
  <c r="G146" i="1" l="1"/>
  <c r="K146" i="1" s="1"/>
  <c r="I146" i="1" l="1"/>
  <c r="C147" i="1" s="1"/>
  <c r="H147" i="1" l="1"/>
  <c r="L147" i="1" s="1"/>
  <c r="F147" i="1"/>
  <c r="G147" i="1" l="1"/>
  <c r="K147" i="1" s="1"/>
  <c r="I147" i="1" l="1"/>
  <c r="C148" i="1" s="1"/>
  <c r="H148" i="1" l="1"/>
  <c r="L148" i="1" s="1"/>
  <c r="F148" i="1"/>
  <c r="G148" i="1" l="1"/>
  <c r="K148" i="1" s="1"/>
  <c r="I148" i="1" l="1"/>
  <c r="C149" i="1" s="1"/>
  <c r="H149" i="1" l="1"/>
  <c r="L149" i="1" s="1"/>
  <c r="F149" i="1"/>
  <c r="G149" i="1" l="1"/>
  <c r="K149" i="1" l="1"/>
  <c r="I149" i="1"/>
  <c r="C150" i="1" l="1"/>
  <c r="H150" i="1" l="1"/>
  <c r="L150" i="1" s="1"/>
  <c r="F150" i="1"/>
  <c r="G150" i="1" l="1"/>
  <c r="K150" i="1" s="1"/>
  <c r="I150" i="1" l="1"/>
  <c r="C151" i="1" s="1"/>
  <c r="H151" i="1" l="1"/>
  <c r="L151" i="1" s="1"/>
  <c r="F151" i="1"/>
  <c r="G151" i="1" l="1"/>
  <c r="K151" i="1" s="1"/>
  <c r="I151" i="1" l="1"/>
  <c r="C152" i="1" s="1"/>
  <c r="H152" i="1" l="1"/>
  <c r="L152" i="1" s="1"/>
  <c r="F152" i="1"/>
  <c r="G152" i="1" l="1"/>
  <c r="K152" i="1" s="1"/>
  <c r="I152" i="1" l="1"/>
  <c r="C153" i="1" s="1"/>
  <c r="F153" i="1" l="1"/>
  <c r="H153" i="1"/>
  <c r="L153" i="1" s="1"/>
  <c r="G153" i="1" l="1"/>
  <c r="K153" i="1" s="1"/>
  <c r="I153" i="1" l="1"/>
  <c r="C154" i="1" s="1"/>
  <c r="H154" i="1" l="1"/>
  <c r="L154" i="1" s="1"/>
  <c r="F154" i="1"/>
  <c r="G154" i="1" l="1"/>
  <c r="K154" i="1" l="1"/>
  <c r="I154" i="1"/>
  <c r="C155" i="1" l="1"/>
  <c r="H155" i="1" l="1"/>
  <c r="L155" i="1" s="1"/>
  <c r="F155" i="1"/>
  <c r="G155" i="1" l="1"/>
  <c r="K155" i="1" s="1"/>
  <c r="I155" i="1" l="1"/>
  <c r="C156" i="1" s="1"/>
  <c r="F156" i="1" l="1"/>
  <c r="H156" i="1"/>
  <c r="L156" i="1" s="1"/>
  <c r="G156" i="1" l="1"/>
  <c r="K156" i="1" l="1"/>
  <c r="I156" i="1"/>
  <c r="C157" i="1" l="1"/>
  <c r="H157" i="1" l="1"/>
  <c r="L157" i="1" s="1"/>
  <c r="F157" i="1"/>
  <c r="G157" i="1" l="1"/>
  <c r="K157" i="1" s="1"/>
  <c r="I157" i="1" l="1"/>
  <c r="C158" i="1" s="1"/>
  <c r="H158" i="1" l="1"/>
  <c r="L158" i="1" s="1"/>
  <c r="F158" i="1"/>
  <c r="G158" i="1" l="1"/>
  <c r="K158" i="1" s="1"/>
  <c r="I158" i="1" l="1"/>
  <c r="C159" i="1" s="1"/>
  <c r="F159" i="1" l="1"/>
  <c r="H159" i="1"/>
  <c r="L159" i="1" s="1"/>
  <c r="G159" i="1" l="1"/>
  <c r="K159" i="1" s="1"/>
  <c r="I159" i="1" l="1"/>
  <c r="C160" i="1" s="1"/>
  <c r="H160" i="1" l="1"/>
  <c r="L160" i="1" s="1"/>
  <c r="F160" i="1"/>
  <c r="G160" i="1" l="1"/>
  <c r="K160" i="1" l="1"/>
  <c r="I160" i="1"/>
  <c r="C161" i="1" l="1"/>
  <c r="H161" i="1" l="1"/>
  <c r="L161" i="1" s="1"/>
  <c r="F161" i="1"/>
  <c r="G161" i="1" s="1"/>
  <c r="K161" i="1" s="1"/>
  <c r="I161" i="1" l="1"/>
  <c r="C162" i="1" l="1"/>
  <c r="H162" i="1" l="1"/>
  <c r="L162" i="1" s="1"/>
  <c r="F162" i="1"/>
  <c r="G162" i="1" l="1"/>
  <c r="K162" i="1" s="1"/>
  <c r="I162" i="1" l="1"/>
  <c r="C163" i="1" s="1"/>
  <c r="H163" i="1" l="1"/>
  <c r="L163" i="1" s="1"/>
  <c r="F163" i="1"/>
  <c r="G163" i="1" l="1"/>
  <c r="K163" i="1" l="1"/>
  <c r="I163" i="1"/>
  <c r="C164" i="1" l="1"/>
  <c r="H164" i="1" l="1"/>
  <c r="L164" i="1" s="1"/>
  <c r="F164" i="1"/>
  <c r="G164" i="1" l="1"/>
  <c r="K164" i="1" s="1"/>
  <c r="I164" i="1" l="1"/>
  <c r="C165" i="1" s="1"/>
  <c r="H165" i="1" l="1"/>
  <c r="L165" i="1" s="1"/>
  <c r="F165" i="1"/>
  <c r="G165" i="1" l="1"/>
  <c r="K165" i="1" s="1"/>
  <c r="I165" i="1" l="1"/>
  <c r="C166" i="1" s="1"/>
  <c r="H166" i="1" l="1"/>
  <c r="L166" i="1" s="1"/>
  <c r="F166" i="1"/>
  <c r="G166" i="1" l="1"/>
  <c r="K166" i="1" l="1"/>
  <c r="I166" i="1"/>
  <c r="C167" i="1" l="1"/>
  <c r="H167" i="1" l="1"/>
  <c r="L167" i="1" s="1"/>
  <c r="F167" i="1"/>
  <c r="G167" i="1" l="1"/>
  <c r="K167" i="1" l="1"/>
  <c r="I167" i="1"/>
  <c r="C168" i="1" l="1"/>
  <c r="F168" i="1" l="1"/>
  <c r="H168" i="1"/>
  <c r="L168" i="1" s="1"/>
  <c r="G168" i="1" l="1"/>
  <c r="K168" i="1" l="1"/>
  <c r="I168" i="1"/>
  <c r="C169" i="1" l="1"/>
  <c r="F169" i="1" l="1"/>
  <c r="H169" i="1"/>
  <c r="L169" i="1" s="1"/>
  <c r="G169" i="1" l="1"/>
  <c r="K169" i="1" l="1"/>
  <c r="I169" i="1"/>
  <c r="C170" i="1" l="1"/>
  <c r="F170" i="1" l="1"/>
  <c r="H170" i="1"/>
  <c r="L170" i="1" s="1"/>
  <c r="G170" i="1" l="1"/>
  <c r="K170" i="1" s="1"/>
  <c r="I170" i="1" l="1"/>
  <c r="C171" i="1" s="1"/>
  <c r="H171" i="1" s="1"/>
  <c r="L171" i="1" s="1"/>
  <c r="F171" i="1" l="1"/>
  <c r="G171" i="1" s="1"/>
  <c r="K171" i="1" s="1"/>
  <c r="I171" i="1" l="1"/>
  <c r="C172" i="1" s="1"/>
  <c r="H172" i="1" l="1"/>
  <c r="L172" i="1" s="1"/>
  <c r="F172" i="1"/>
  <c r="G172" i="1" l="1"/>
  <c r="K172" i="1" s="1"/>
  <c r="I172" i="1" l="1"/>
  <c r="C173" i="1" s="1"/>
  <c r="H173" i="1" l="1"/>
  <c r="L173" i="1" s="1"/>
  <c r="F173" i="1"/>
  <c r="G173" i="1" l="1"/>
  <c r="K173" i="1" s="1"/>
  <c r="I173" i="1" l="1"/>
  <c r="C174" i="1" s="1"/>
  <c r="H174" i="1" l="1"/>
  <c r="L174" i="1" s="1"/>
  <c r="F174" i="1"/>
  <c r="G174" i="1" l="1"/>
  <c r="K174" i="1" s="1"/>
  <c r="I174" i="1" l="1"/>
  <c r="C175" i="1" s="1"/>
  <c r="F175" i="1" l="1"/>
  <c r="H175" i="1"/>
  <c r="L175" i="1" s="1"/>
  <c r="G175" i="1" l="1"/>
  <c r="K175" i="1" s="1"/>
  <c r="I175" i="1" l="1"/>
  <c r="C176" i="1" s="1"/>
  <c r="F176" i="1" l="1"/>
  <c r="H176" i="1"/>
  <c r="L176" i="1" s="1"/>
  <c r="G176" i="1" l="1"/>
  <c r="K176" i="1" l="1"/>
  <c r="I176" i="1"/>
  <c r="C177" i="1" s="1"/>
  <c r="F177" i="1" s="1"/>
  <c r="H177" i="1" l="1"/>
  <c r="L177" i="1" s="1"/>
  <c r="G177" i="1" l="1"/>
  <c r="K177" i="1" l="1"/>
  <c r="I177" i="1"/>
  <c r="C178" i="1" s="1"/>
  <c r="F178" i="1" s="1"/>
  <c r="H178" i="1" l="1"/>
  <c r="L178" i="1" s="1"/>
  <c r="G178" i="1" l="1"/>
  <c r="K178" i="1" s="1"/>
  <c r="I178" i="1" l="1"/>
  <c r="C179" i="1" s="1"/>
  <c r="F179" i="1" l="1"/>
  <c r="H179" i="1"/>
  <c r="L179" i="1" s="1"/>
  <c r="G179" i="1" l="1"/>
  <c r="K179" i="1" l="1"/>
  <c r="I179" i="1"/>
  <c r="C180" i="1" l="1"/>
  <c r="F180" i="1" l="1"/>
  <c r="H180" i="1"/>
  <c r="L180" i="1" s="1"/>
  <c r="G180" i="1" l="1"/>
  <c r="K180" i="1" s="1"/>
  <c r="I180" i="1" l="1"/>
  <c r="C181" i="1" s="1"/>
  <c r="F181" i="1" l="1"/>
  <c r="H181" i="1"/>
  <c r="L181" i="1" s="1"/>
  <c r="G181" i="1" l="1"/>
  <c r="K181" i="1" l="1"/>
  <c r="I181" i="1"/>
  <c r="C182" i="1" l="1"/>
  <c r="F182" i="1" l="1"/>
  <c r="H182" i="1"/>
  <c r="L182" i="1" s="1"/>
  <c r="G182" i="1" l="1"/>
  <c r="K182" i="1" l="1"/>
  <c r="I182" i="1"/>
  <c r="C183" i="1" l="1"/>
  <c r="H183" i="1" l="1"/>
  <c r="L183" i="1" s="1"/>
  <c r="F183" i="1"/>
  <c r="G183" i="1" l="1"/>
  <c r="K183" i="1" s="1"/>
  <c r="I183" i="1" l="1"/>
  <c r="C184" i="1" s="1"/>
  <c r="F184" i="1" l="1"/>
  <c r="H184" i="1"/>
  <c r="L184" i="1" s="1"/>
  <c r="G184" i="1" l="1"/>
  <c r="K184" i="1" l="1"/>
  <c r="I184" i="1"/>
  <c r="C185" i="1" l="1"/>
  <c r="F185" i="1" l="1"/>
  <c r="H185" i="1"/>
  <c r="L185" i="1" s="1"/>
  <c r="G185" i="1" l="1"/>
  <c r="K185" i="1" s="1"/>
  <c r="I185" i="1" l="1"/>
  <c r="C186" i="1" s="1"/>
  <c r="F186" i="1" s="1"/>
  <c r="H186" i="1" l="1"/>
  <c r="L186" i="1" s="1"/>
  <c r="G186" i="1" l="1"/>
  <c r="K186" i="1" s="1"/>
  <c r="I186" i="1" l="1"/>
  <c r="C187" i="1" s="1"/>
  <c r="F187" i="1" l="1"/>
  <c r="H187" i="1"/>
  <c r="L187" i="1" s="1"/>
  <c r="G187" i="1" l="1"/>
  <c r="K187" i="1" l="1"/>
  <c r="I187" i="1"/>
  <c r="C188" i="1" l="1"/>
  <c r="F188" i="1" l="1"/>
  <c r="H188" i="1"/>
  <c r="L188" i="1" s="1"/>
  <c r="G188" i="1" l="1"/>
  <c r="K188" i="1" l="1"/>
  <c r="I188" i="1"/>
  <c r="C189" i="1" l="1"/>
  <c r="H189" i="1" l="1"/>
  <c r="L189" i="1" s="1"/>
  <c r="F189" i="1"/>
  <c r="G189" i="1" l="1"/>
  <c r="K189" i="1" s="1"/>
  <c r="I189" i="1" l="1"/>
  <c r="C190" i="1" s="1"/>
  <c r="H190" i="1" l="1"/>
  <c r="L190" i="1" s="1"/>
  <c r="F190" i="1"/>
  <c r="G190" i="1" l="1"/>
  <c r="K190" i="1" s="1"/>
  <c r="I190" i="1" l="1"/>
  <c r="C191" i="1" s="1"/>
  <c r="F191" i="1" l="1"/>
  <c r="H191" i="1"/>
  <c r="L191" i="1" s="1"/>
  <c r="G191" i="1" l="1"/>
  <c r="K191" i="1" l="1"/>
  <c r="I191" i="1"/>
  <c r="C192" i="1" l="1"/>
  <c r="H192" i="1" l="1"/>
  <c r="L192" i="1" s="1"/>
  <c r="F192" i="1"/>
  <c r="G192" i="1" l="1"/>
  <c r="K192" i="1" s="1"/>
  <c r="I192" i="1" l="1"/>
  <c r="C193" i="1" s="1"/>
  <c r="H193" i="1" l="1"/>
  <c r="L193" i="1" s="1"/>
  <c r="F193" i="1"/>
  <c r="G193" i="1" l="1"/>
  <c r="K193" i="1" s="1"/>
  <c r="I193" i="1" l="1"/>
  <c r="C194" i="1" s="1"/>
  <c r="H194" i="1" s="1"/>
  <c r="L194" i="1" s="1"/>
  <c r="F194" i="1" l="1"/>
  <c r="G194" i="1" s="1"/>
  <c r="K194" i="1" s="1"/>
  <c r="I194" i="1" l="1"/>
  <c r="C195" i="1" s="1"/>
  <c r="H195" i="1" l="1"/>
  <c r="L195" i="1" s="1"/>
  <c r="F195" i="1"/>
  <c r="G195" i="1" l="1"/>
  <c r="K195" i="1" s="1"/>
  <c r="I195" i="1" l="1"/>
  <c r="C196" i="1" s="1"/>
  <c r="H196" i="1" l="1"/>
  <c r="L196" i="1" s="1"/>
  <c r="F196" i="1"/>
  <c r="G196" i="1" l="1"/>
  <c r="K196" i="1" s="1"/>
  <c r="I196" i="1" l="1"/>
  <c r="C197" i="1" s="1"/>
  <c r="H197" i="1" l="1"/>
  <c r="L197" i="1" s="1"/>
  <c r="F197" i="1"/>
  <c r="G197" i="1" l="1"/>
  <c r="K197" i="1" s="1"/>
  <c r="I197" i="1" l="1"/>
  <c r="C198" i="1" s="1"/>
  <c r="F198" i="1" l="1"/>
  <c r="H198" i="1"/>
  <c r="L198" i="1" s="1"/>
  <c r="G198" i="1" l="1"/>
  <c r="K198" i="1" l="1"/>
  <c r="I198" i="1"/>
  <c r="C199" i="1" l="1"/>
  <c r="H199" i="1" l="1"/>
  <c r="L199" i="1" s="1"/>
  <c r="F199" i="1"/>
  <c r="G199" i="1" l="1"/>
  <c r="K199" i="1" s="1"/>
  <c r="I199" i="1" l="1"/>
  <c r="C200" i="1" s="1"/>
  <c r="H200" i="1" l="1"/>
  <c r="L200" i="1" s="1"/>
  <c r="F200" i="1"/>
  <c r="G200" i="1" l="1"/>
  <c r="K200" i="1" s="1"/>
  <c r="I200" i="1" l="1"/>
  <c r="C201" i="1" s="1"/>
  <c r="H201" i="1" l="1"/>
  <c r="L201" i="1" s="1"/>
  <c r="F201" i="1"/>
  <c r="G201" i="1" l="1"/>
  <c r="K201" i="1" s="1"/>
  <c r="I201" i="1" l="1"/>
  <c r="C202" i="1" s="1"/>
  <c r="F202" i="1" s="1"/>
  <c r="H202" i="1" l="1"/>
  <c r="L202" i="1" s="1"/>
  <c r="G202" i="1" l="1"/>
  <c r="K202" i="1" s="1"/>
  <c r="I202" i="1" l="1"/>
  <c r="C203" i="1" s="1"/>
  <c r="F203" i="1" s="1"/>
  <c r="H203" i="1" l="1"/>
  <c r="L203" i="1" s="1"/>
  <c r="G203" i="1" l="1"/>
  <c r="K203" i="1" s="1"/>
  <c r="I203" i="1" l="1"/>
  <c r="C204" i="1" s="1"/>
  <c r="F204" i="1" s="1"/>
  <c r="H204" i="1" l="1"/>
  <c r="L204" i="1" s="1"/>
  <c r="G204" i="1" l="1"/>
  <c r="K204" i="1" s="1"/>
  <c r="I204" i="1" l="1"/>
  <c r="C205" i="1" s="1"/>
  <c r="F205" i="1" s="1"/>
  <c r="H205" i="1" l="1"/>
  <c r="L205" i="1" s="1"/>
  <c r="G205" i="1" l="1"/>
  <c r="K205" i="1" s="1"/>
  <c r="I205" i="1" l="1"/>
  <c r="C206" i="1" s="1"/>
  <c r="H206" i="1" s="1"/>
  <c r="L206" i="1" s="1"/>
  <c r="F206" i="1" l="1"/>
  <c r="G206" i="1" s="1"/>
  <c r="K206" i="1" s="1"/>
  <c r="I206" i="1" l="1"/>
  <c r="C207" i="1" s="1"/>
  <c r="H207" i="1" l="1"/>
  <c r="L207" i="1" s="1"/>
  <c r="F207" i="1"/>
  <c r="G207" i="1" l="1"/>
  <c r="K207" i="1" s="1"/>
  <c r="I207" i="1" l="1"/>
  <c r="C208" i="1" s="1"/>
  <c r="F208" i="1" l="1"/>
  <c r="H208" i="1"/>
  <c r="L208" i="1" s="1"/>
  <c r="G208" i="1" l="1"/>
  <c r="K208" i="1" l="1"/>
  <c r="I208" i="1"/>
  <c r="C209" i="1" l="1"/>
  <c r="H209" i="1" l="1"/>
  <c r="L209" i="1" s="1"/>
  <c r="F209" i="1"/>
  <c r="G209" i="1" l="1"/>
  <c r="K209" i="1" s="1"/>
  <c r="I209" i="1" l="1"/>
  <c r="C210" i="1" s="1"/>
  <c r="H210" i="1" s="1"/>
  <c r="L210" i="1" s="1"/>
  <c r="F210" i="1" l="1"/>
  <c r="G210" i="1" s="1"/>
  <c r="K210" i="1" s="1"/>
  <c r="I210" i="1" l="1"/>
  <c r="C211" i="1" s="1"/>
  <c r="F211" i="1" l="1"/>
  <c r="H211" i="1"/>
  <c r="L211" i="1" s="1"/>
  <c r="G211" i="1" l="1"/>
  <c r="K211" i="1" l="1"/>
  <c r="I211" i="1"/>
  <c r="C212" i="1" s="1"/>
  <c r="H212" i="1" s="1"/>
  <c r="L212" i="1" s="1"/>
  <c r="F212" i="1" l="1"/>
  <c r="G212" i="1" s="1"/>
  <c r="K212" i="1" s="1"/>
  <c r="I212" i="1" l="1"/>
  <c r="C213" i="1" s="1"/>
  <c r="F213" i="1" l="1"/>
  <c r="H213" i="1"/>
  <c r="L213" i="1" s="1"/>
  <c r="G213" i="1" l="1"/>
  <c r="K213" i="1" s="1"/>
  <c r="I213" i="1" l="1"/>
  <c r="C214" i="1" s="1"/>
  <c r="F214" i="1" l="1"/>
  <c r="H214" i="1"/>
  <c r="L214" i="1" s="1"/>
  <c r="G214" i="1" l="1"/>
  <c r="K214" i="1" l="1"/>
  <c r="I214" i="1"/>
  <c r="C215" i="1" l="1"/>
  <c r="H215" i="1" l="1"/>
  <c r="L215" i="1" s="1"/>
  <c r="F215" i="1"/>
  <c r="G215" i="1" l="1"/>
  <c r="K215" i="1" s="1"/>
  <c r="I215" i="1" l="1"/>
  <c r="C216" i="1" s="1"/>
  <c r="H216" i="1" s="1"/>
  <c r="L216" i="1" s="1"/>
  <c r="F216" i="1" l="1"/>
  <c r="G216" i="1" s="1"/>
  <c r="K216" i="1" l="1"/>
  <c r="I216" i="1"/>
  <c r="C217" i="1" s="1"/>
  <c r="F217" i="1" l="1"/>
  <c r="H217" i="1"/>
  <c r="L217" i="1" s="1"/>
  <c r="G217" i="1" l="1"/>
  <c r="K217" i="1" s="1"/>
  <c r="I217" i="1" l="1"/>
  <c r="C218" i="1" s="1"/>
  <c r="F218" i="1" l="1"/>
  <c r="H218" i="1"/>
  <c r="L218" i="1" s="1"/>
  <c r="G218" i="1" l="1"/>
  <c r="K218" i="1" l="1"/>
  <c r="I218" i="1"/>
  <c r="C219" i="1" l="1"/>
  <c r="H219" i="1" l="1"/>
  <c r="L219" i="1" s="1"/>
  <c r="F219" i="1"/>
  <c r="G219" i="1" l="1"/>
  <c r="K219" i="1" s="1"/>
  <c r="I219" i="1" l="1"/>
  <c r="C220" i="1" s="1"/>
  <c r="H220" i="1" l="1"/>
  <c r="L220" i="1" s="1"/>
  <c r="F220" i="1"/>
  <c r="G220" i="1" l="1"/>
  <c r="K220" i="1" s="1"/>
  <c r="I220" i="1" l="1"/>
  <c r="C221" i="1" s="1"/>
  <c r="F221" i="1" l="1"/>
  <c r="H221" i="1"/>
  <c r="L221" i="1" s="1"/>
  <c r="G221" i="1" l="1"/>
  <c r="K221" i="1" l="1"/>
  <c r="I221" i="1"/>
  <c r="C222" i="1" l="1"/>
  <c r="F222" i="1" l="1"/>
  <c r="H222" i="1"/>
  <c r="L222" i="1" s="1"/>
  <c r="G222" i="1" l="1"/>
  <c r="K222" i="1" l="1"/>
  <c r="I222" i="1"/>
  <c r="C223" i="1" l="1"/>
  <c r="F223" i="1" l="1"/>
  <c r="H223" i="1"/>
  <c r="L223" i="1" s="1"/>
  <c r="G223" i="1" l="1"/>
  <c r="K223" i="1" l="1"/>
  <c r="I223" i="1"/>
  <c r="C224" i="1" l="1"/>
  <c r="H224" i="1" l="1"/>
  <c r="L224" i="1" s="1"/>
  <c r="F224" i="1"/>
  <c r="G224" i="1" l="1"/>
  <c r="K224" i="1" s="1"/>
  <c r="I224" i="1" l="1"/>
  <c r="C225" i="1" s="1"/>
  <c r="F225" i="1" s="1"/>
  <c r="H225" i="1" l="1"/>
  <c r="L225" i="1" s="1"/>
  <c r="G225" i="1" l="1"/>
  <c r="K225" i="1" l="1"/>
  <c r="I225" i="1"/>
  <c r="C226" i="1" s="1"/>
  <c r="F226" i="1" s="1"/>
  <c r="H226" i="1" l="1"/>
  <c r="L226" i="1" s="1"/>
  <c r="G226" i="1" l="1"/>
  <c r="K226" i="1" s="1"/>
  <c r="I226" i="1" l="1"/>
  <c r="C227" i="1" s="1"/>
  <c r="F227" i="1" s="1"/>
  <c r="H227" i="1" l="1"/>
  <c r="L227" i="1" s="1"/>
  <c r="G227" i="1" l="1"/>
  <c r="K227" i="1" s="1"/>
  <c r="I227" i="1" l="1"/>
  <c r="C228" i="1" s="1"/>
  <c r="H228" i="1" l="1"/>
  <c r="L228" i="1" s="1"/>
  <c r="F228" i="1"/>
  <c r="G228" i="1" l="1"/>
  <c r="K228" i="1" s="1"/>
  <c r="I228" i="1" l="1"/>
  <c r="C229" i="1" s="1"/>
  <c r="H229" i="1" l="1"/>
  <c r="L229" i="1" s="1"/>
  <c r="F229" i="1"/>
  <c r="G229" i="1" l="1"/>
  <c r="K229" i="1" s="1"/>
  <c r="I229" i="1" l="1"/>
  <c r="C230" i="1" s="1"/>
  <c r="F230" i="1" l="1"/>
  <c r="H230" i="1"/>
  <c r="L230" i="1" s="1"/>
  <c r="G230" i="1" l="1"/>
  <c r="K230" i="1" l="1"/>
  <c r="I230" i="1"/>
  <c r="C231" i="1" l="1"/>
  <c r="F231" i="1" l="1"/>
  <c r="H231" i="1"/>
  <c r="L231" i="1" s="1"/>
  <c r="G231" i="1" l="1"/>
  <c r="K231" i="1" l="1"/>
  <c r="I231" i="1"/>
  <c r="C232" i="1" l="1"/>
  <c r="F232" i="1" l="1"/>
  <c r="H232" i="1"/>
  <c r="L232" i="1" s="1"/>
  <c r="G232" i="1" l="1"/>
  <c r="K232" i="1" l="1"/>
  <c r="I232" i="1"/>
  <c r="C233" i="1" l="1"/>
  <c r="H233" i="1" l="1"/>
  <c r="L233" i="1" s="1"/>
  <c r="F233" i="1"/>
  <c r="G233" i="1" l="1"/>
  <c r="K233" i="1" s="1"/>
  <c r="I233" i="1" l="1"/>
  <c r="C234" i="1" s="1"/>
  <c r="H234" i="1" l="1"/>
  <c r="L234" i="1" s="1"/>
  <c r="F234" i="1"/>
  <c r="G234" i="1" l="1"/>
  <c r="K234" i="1" s="1"/>
  <c r="I234" i="1" l="1"/>
  <c r="C235" i="1" s="1"/>
  <c r="H235" i="1" l="1"/>
  <c r="L235" i="1" s="1"/>
  <c r="F235" i="1"/>
  <c r="G235" i="1" l="1"/>
  <c r="K235" i="1" s="1"/>
  <c r="I235" i="1" l="1"/>
  <c r="C236" i="1" s="1"/>
  <c r="H236" i="1" l="1"/>
  <c r="L236" i="1" s="1"/>
  <c r="F236" i="1"/>
  <c r="G236" i="1" l="1"/>
  <c r="K236" i="1" s="1"/>
  <c r="I236" i="1" l="1"/>
  <c r="C237" i="1" s="1"/>
  <c r="F237" i="1" l="1"/>
  <c r="H237" i="1"/>
  <c r="L237" i="1" s="1"/>
  <c r="G237" i="1" l="1"/>
  <c r="K237" i="1" l="1"/>
  <c r="I237" i="1"/>
  <c r="C238" i="1" l="1"/>
  <c r="F238" i="1" l="1"/>
  <c r="H238" i="1"/>
  <c r="L238" i="1" s="1"/>
  <c r="G238" i="1" l="1"/>
  <c r="K238" i="1" l="1"/>
  <c r="I238" i="1"/>
  <c r="C239" i="1" l="1"/>
  <c r="F239" i="1" l="1"/>
  <c r="H239" i="1"/>
  <c r="L239" i="1" s="1"/>
  <c r="G239" i="1" l="1"/>
  <c r="K239" i="1" l="1"/>
  <c r="I239" i="1"/>
  <c r="C240" i="1" l="1"/>
  <c r="H240" i="1" l="1"/>
  <c r="L240" i="1" s="1"/>
  <c r="F240" i="1"/>
  <c r="G240" i="1" l="1"/>
  <c r="K240" i="1" s="1"/>
  <c r="I240" i="1" l="1"/>
  <c r="C241" i="1" s="1"/>
  <c r="H241" i="1" l="1"/>
  <c r="L241" i="1" s="1"/>
  <c r="F241" i="1"/>
  <c r="G241" i="1" l="1"/>
  <c r="K241" i="1" s="1"/>
  <c r="I241" i="1" l="1"/>
  <c r="C242" i="1" s="1"/>
  <c r="F242" i="1" l="1"/>
  <c r="H242" i="1"/>
  <c r="L242" i="1" s="1"/>
  <c r="G242" i="1" l="1"/>
  <c r="K242" i="1" s="1"/>
  <c r="I242" i="1" l="1"/>
  <c r="C243" i="1" s="1"/>
  <c r="F243" i="1" s="1"/>
  <c r="H243" i="1" l="1"/>
  <c r="L243" i="1" s="1"/>
  <c r="G243" i="1" l="1"/>
  <c r="K243" i="1" s="1"/>
  <c r="I243" i="1" l="1"/>
  <c r="C244" i="1" s="1"/>
  <c r="F244" i="1" l="1"/>
  <c r="H244" i="1"/>
  <c r="L244" i="1" s="1"/>
  <c r="G244" i="1" l="1"/>
  <c r="K244" i="1" l="1"/>
  <c r="I244" i="1"/>
  <c r="C245" i="1" l="1"/>
  <c r="H245" i="1" l="1"/>
  <c r="L245" i="1" s="1"/>
  <c r="F245" i="1"/>
  <c r="G245" i="1" l="1"/>
  <c r="K245" i="1" s="1"/>
  <c r="I245" i="1" l="1"/>
  <c r="C246" i="1" s="1"/>
  <c r="H246" i="1" l="1"/>
  <c r="L246" i="1" s="1"/>
  <c r="F246" i="1"/>
  <c r="G246" i="1" l="1"/>
  <c r="K246" i="1" s="1"/>
  <c r="I246" i="1" l="1"/>
  <c r="C247" i="1" s="1"/>
  <c r="H247" i="1" s="1"/>
  <c r="L247" i="1" s="1"/>
  <c r="F247" i="1" l="1"/>
  <c r="G247" i="1" s="1"/>
  <c r="K247" i="1" s="1"/>
  <c r="I247" i="1" l="1"/>
  <c r="C248" i="1" s="1"/>
  <c r="H248" i="1" l="1"/>
  <c r="L248" i="1" s="1"/>
  <c r="F248" i="1"/>
  <c r="G248" i="1" l="1"/>
  <c r="K248" i="1" s="1"/>
  <c r="I248" i="1" l="1"/>
  <c r="C249" i="1" s="1"/>
  <c r="F249" i="1" l="1"/>
  <c r="H249" i="1"/>
  <c r="L249" i="1" s="1"/>
  <c r="G249" i="1" l="1"/>
  <c r="K249" i="1" s="1"/>
  <c r="I249" i="1" l="1"/>
  <c r="C250" i="1" s="1"/>
  <c r="F250" i="1" s="1"/>
  <c r="H250" i="1" l="1"/>
  <c r="L250" i="1" s="1"/>
  <c r="G250" i="1" l="1"/>
  <c r="K250" i="1" s="1"/>
  <c r="I250" i="1" l="1"/>
  <c r="C251" i="1" s="1"/>
  <c r="H251" i="1" s="1"/>
  <c r="L251" i="1" s="1"/>
  <c r="F251" i="1" l="1"/>
  <c r="G251" i="1" s="1"/>
  <c r="K251" i="1" s="1"/>
  <c r="I251" i="1" l="1"/>
  <c r="C252" i="1" s="1"/>
  <c r="H252" i="1" s="1"/>
  <c r="L252" i="1" s="1"/>
  <c r="F252" i="1" l="1"/>
  <c r="G252" i="1" s="1"/>
  <c r="K252" i="1" s="1"/>
  <c r="I252" i="1" l="1"/>
  <c r="C253" i="1" s="1"/>
  <c r="H253" i="1" l="1"/>
  <c r="L253" i="1" s="1"/>
  <c r="F253" i="1"/>
  <c r="G253" i="1" l="1"/>
  <c r="K253" i="1" s="1"/>
  <c r="I253" i="1" l="1"/>
  <c r="C254" i="1" s="1"/>
  <c r="H254" i="1" l="1"/>
  <c r="L254" i="1" s="1"/>
  <c r="F254" i="1"/>
  <c r="G254" i="1" l="1"/>
  <c r="K254" i="1" s="1"/>
  <c r="I254" i="1" l="1"/>
  <c r="C255" i="1" s="1"/>
  <c r="H255" i="1" l="1"/>
  <c r="L255" i="1" s="1"/>
  <c r="F255" i="1"/>
  <c r="G255" i="1" l="1"/>
  <c r="K255" i="1" s="1"/>
  <c r="I255" i="1" l="1"/>
  <c r="C256" i="1" s="1"/>
  <c r="H256" i="1" s="1"/>
  <c r="L256" i="1" s="1"/>
  <c r="F256" i="1" l="1"/>
  <c r="G256" i="1" s="1"/>
  <c r="K256" i="1" s="1"/>
  <c r="I256" i="1" l="1"/>
  <c r="C257" i="1" s="1"/>
  <c r="H257" i="1" l="1"/>
  <c r="L257" i="1" s="1"/>
  <c r="F257" i="1"/>
  <c r="G257" i="1" l="1"/>
  <c r="K257" i="1" s="1"/>
  <c r="I257" i="1" l="1"/>
  <c r="C258" i="1" s="1"/>
  <c r="F258" i="1" l="1"/>
  <c r="H258" i="1"/>
  <c r="L258" i="1" s="1"/>
  <c r="G258" i="1" l="1"/>
  <c r="K258" i="1" l="1"/>
  <c r="I258" i="1"/>
  <c r="C259" i="1" l="1"/>
  <c r="H259" i="1" l="1"/>
  <c r="L259" i="1" s="1"/>
  <c r="F259" i="1"/>
  <c r="G259" i="1" l="1"/>
  <c r="K259" i="1" s="1"/>
  <c r="I259" i="1" l="1"/>
  <c r="C260" i="1" s="1"/>
  <c r="H260" i="1" l="1"/>
  <c r="L260" i="1" s="1"/>
  <c r="F260" i="1"/>
  <c r="G260" i="1" l="1"/>
  <c r="K260" i="1" s="1"/>
  <c r="I260" i="1" l="1"/>
  <c r="C261" i="1" s="1"/>
  <c r="H261" i="1" l="1"/>
  <c r="L261" i="1" s="1"/>
  <c r="F261" i="1"/>
  <c r="G261" i="1" l="1"/>
  <c r="K261" i="1" s="1"/>
  <c r="I261" i="1" l="1"/>
  <c r="C262" i="1" s="1"/>
  <c r="H262" i="1" l="1"/>
  <c r="L262" i="1" s="1"/>
  <c r="F262" i="1"/>
  <c r="G262" i="1" l="1"/>
  <c r="K262" i="1" s="1"/>
  <c r="I262" i="1" l="1"/>
  <c r="C263" i="1" s="1"/>
  <c r="H263" i="1" l="1"/>
  <c r="L263" i="1" s="1"/>
  <c r="F263" i="1"/>
  <c r="G263" i="1" l="1"/>
  <c r="K263" i="1" s="1"/>
  <c r="I263" i="1" l="1"/>
  <c r="C264" i="1" s="1"/>
  <c r="H264" i="1" l="1"/>
  <c r="L264" i="1" s="1"/>
  <c r="F264" i="1"/>
  <c r="G264" i="1" l="1"/>
  <c r="K264" i="1" s="1"/>
  <c r="I264" i="1" l="1"/>
  <c r="C265" i="1" s="1"/>
  <c r="H265" i="1" l="1"/>
  <c r="L265" i="1" s="1"/>
  <c r="F265" i="1"/>
  <c r="G265" i="1" l="1"/>
  <c r="K265" i="1" s="1"/>
  <c r="I265" i="1" l="1"/>
  <c r="C266" i="1" s="1"/>
  <c r="F266" i="1" l="1"/>
  <c r="H266" i="1"/>
  <c r="L266" i="1" s="1"/>
  <c r="G266" i="1" l="1"/>
  <c r="K266" i="1" s="1"/>
  <c r="I266" i="1" l="1"/>
  <c r="C267" i="1" s="1"/>
  <c r="F267" i="1" l="1"/>
  <c r="H267" i="1"/>
  <c r="L267" i="1" s="1"/>
  <c r="G267" i="1" l="1"/>
  <c r="K267" i="1" l="1"/>
  <c r="I267" i="1"/>
  <c r="C268" i="1" l="1"/>
  <c r="F268" i="1" l="1"/>
  <c r="H268" i="1"/>
  <c r="L268" i="1" s="1"/>
  <c r="G268" i="1" l="1"/>
  <c r="K268" i="1" l="1"/>
  <c r="I268" i="1"/>
  <c r="C269" i="1" l="1"/>
  <c r="H269" i="1" l="1"/>
  <c r="L269" i="1" s="1"/>
  <c r="F269" i="1"/>
  <c r="G269" i="1" l="1"/>
  <c r="K269" i="1" s="1"/>
  <c r="I269" i="1" l="1"/>
  <c r="C270" i="1" s="1"/>
  <c r="H270" i="1" l="1"/>
  <c r="L270" i="1" s="1"/>
  <c r="F270" i="1"/>
  <c r="G270" i="1" l="1"/>
  <c r="K270" i="1" s="1"/>
  <c r="I270" i="1" l="1"/>
  <c r="C271" i="1" s="1"/>
  <c r="H271" i="1" l="1"/>
  <c r="L271" i="1" s="1"/>
  <c r="F271" i="1"/>
  <c r="G271" i="1" l="1"/>
  <c r="K271" i="1" s="1"/>
  <c r="I271" i="1" l="1"/>
  <c r="C272" i="1" s="1"/>
  <c r="F272" i="1" l="1"/>
  <c r="H272" i="1"/>
  <c r="L272" i="1" s="1"/>
  <c r="G272" i="1" l="1"/>
  <c r="K272" i="1" s="1"/>
  <c r="I272" i="1" l="1"/>
  <c r="C273" i="1" s="1"/>
  <c r="F273" i="1" l="1"/>
  <c r="H273" i="1"/>
  <c r="L273" i="1" s="1"/>
  <c r="G273" i="1" l="1"/>
  <c r="K273" i="1" l="1"/>
  <c r="I273" i="1"/>
  <c r="C274" i="1" l="1"/>
  <c r="H274" i="1" l="1"/>
  <c r="L274" i="1" s="1"/>
  <c r="F274" i="1"/>
  <c r="G274" i="1" l="1"/>
  <c r="K274" i="1" s="1"/>
  <c r="I274" i="1" l="1"/>
  <c r="C275" i="1" s="1"/>
  <c r="H275" i="1" l="1"/>
  <c r="L275" i="1" s="1"/>
  <c r="F275" i="1"/>
  <c r="G275" i="1" l="1"/>
  <c r="K275" i="1" s="1"/>
  <c r="I275" i="1" l="1"/>
  <c r="C276" i="1" s="1"/>
  <c r="H276" i="1" l="1"/>
  <c r="L276" i="1" s="1"/>
  <c r="F276" i="1"/>
  <c r="G276" i="1" l="1"/>
  <c r="K276" i="1" s="1"/>
  <c r="I276" i="1" l="1"/>
  <c r="C277" i="1" s="1"/>
  <c r="F277" i="1" l="1"/>
  <c r="H277" i="1"/>
  <c r="L277" i="1" s="1"/>
  <c r="G277" i="1" l="1"/>
  <c r="K277" i="1" l="1"/>
  <c r="I277" i="1"/>
  <c r="C278" i="1" l="1"/>
  <c r="H278" i="1" l="1"/>
  <c r="L278" i="1" s="1"/>
  <c r="F278" i="1"/>
  <c r="G278" i="1" l="1"/>
  <c r="K278" i="1" s="1"/>
  <c r="I278" i="1" l="1"/>
  <c r="C279" i="1" s="1"/>
  <c r="H279" i="1" l="1"/>
  <c r="L279" i="1" s="1"/>
  <c r="F279" i="1"/>
  <c r="G279" i="1" l="1"/>
  <c r="K279" i="1" s="1"/>
  <c r="I279" i="1" l="1"/>
  <c r="C280" i="1" s="1"/>
  <c r="H280" i="1" l="1"/>
  <c r="L280" i="1" s="1"/>
  <c r="F280" i="1"/>
  <c r="G280" i="1" l="1"/>
  <c r="K280" i="1" s="1"/>
  <c r="I280" i="1" l="1"/>
  <c r="C281" i="1" s="1"/>
  <c r="F281" i="1" l="1"/>
  <c r="H281" i="1"/>
  <c r="L281" i="1" s="1"/>
  <c r="G281" i="1" l="1"/>
  <c r="K281" i="1" l="1"/>
  <c r="I281" i="1"/>
  <c r="C282" i="1" l="1"/>
  <c r="H282" i="1" l="1"/>
  <c r="L282" i="1" s="1"/>
  <c r="F282" i="1"/>
  <c r="G282" i="1" l="1"/>
  <c r="K282" i="1" s="1"/>
  <c r="I282" i="1" l="1"/>
  <c r="C283" i="1" s="1"/>
  <c r="H283" i="1" l="1"/>
  <c r="L283" i="1" s="1"/>
  <c r="F283" i="1"/>
  <c r="G283" i="1" l="1"/>
  <c r="K283" i="1" s="1"/>
  <c r="I283" i="1" l="1"/>
  <c r="C284" i="1" s="1"/>
  <c r="H284" i="1" l="1"/>
  <c r="L284" i="1" s="1"/>
  <c r="F284" i="1"/>
  <c r="G284" i="1" l="1"/>
  <c r="K284" i="1" s="1"/>
  <c r="I284" i="1" l="1"/>
  <c r="C285" i="1" s="1"/>
  <c r="F285" i="1" l="1"/>
  <c r="H285" i="1"/>
  <c r="L285" i="1" s="1"/>
  <c r="G285" i="1" l="1"/>
  <c r="K285" i="1" l="1"/>
  <c r="I285" i="1"/>
  <c r="C286" i="1" l="1"/>
  <c r="F286" i="1" l="1"/>
  <c r="H286" i="1"/>
  <c r="L286" i="1" s="1"/>
  <c r="G286" i="1" l="1"/>
  <c r="K286" i="1" l="1"/>
  <c r="I286" i="1"/>
  <c r="C287" i="1" l="1"/>
  <c r="H287" i="1" l="1"/>
  <c r="L287" i="1" s="1"/>
  <c r="F287" i="1"/>
  <c r="G287" i="1" l="1"/>
  <c r="K287" i="1" s="1"/>
  <c r="I287" i="1" l="1"/>
  <c r="C288" i="1" s="1"/>
  <c r="F288" i="1" l="1"/>
  <c r="H288" i="1"/>
  <c r="L288" i="1" s="1"/>
  <c r="G288" i="1" l="1"/>
  <c r="K288" i="1" s="1"/>
  <c r="I288" i="1" l="1"/>
  <c r="C289" i="1" s="1"/>
  <c r="H289" i="1" l="1"/>
  <c r="L289" i="1" s="1"/>
  <c r="F289" i="1"/>
  <c r="G289" i="1" l="1"/>
  <c r="K289" i="1" s="1"/>
  <c r="I289" i="1" l="1"/>
  <c r="C290" i="1" s="1"/>
  <c r="H290" i="1" l="1"/>
  <c r="L290" i="1" s="1"/>
  <c r="F290" i="1"/>
  <c r="G290" i="1" l="1"/>
  <c r="K290" i="1" s="1"/>
  <c r="I290" i="1" l="1"/>
  <c r="C291" i="1" s="1"/>
  <c r="H291" i="1" l="1"/>
  <c r="L291" i="1" s="1"/>
  <c r="F291" i="1"/>
  <c r="G291" i="1" l="1"/>
  <c r="K291" i="1" s="1"/>
  <c r="I291" i="1" l="1"/>
  <c r="C292" i="1" s="1"/>
  <c r="H292" i="1" l="1"/>
  <c r="L292" i="1" s="1"/>
  <c r="F292" i="1"/>
  <c r="G292" i="1" l="1"/>
  <c r="K292" i="1" s="1"/>
  <c r="I292" i="1" l="1"/>
  <c r="C293" i="1" s="1"/>
  <c r="F293" i="1" l="1"/>
  <c r="H293" i="1"/>
  <c r="L293" i="1" s="1"/>
  <c r="G293" i="1" l="1"/>
  <c r="K293" i="1" l="1"/>
  <c r="I293" i="1"/>
  <c r="C294" i="1" l="1"/>
  <c r="F294" i="1" l="1"/>
  <c r="H294" i="1"/>
  <c r="L294" i="1" s="1"/>
  <c r="G294" i="1" l="1"/>
  <c r="K294" i="1" l="1"/>
  <c r="I294" i="1"/>
  <c r="C295" i="1" l="1"/>
  <c r="F295" i="1" l="1"/>
  <c r="H295" i="1"/>
  <c r="L295" i="1" s="1"/>
  <c r="G295" i="1" l="1"/>
  <c r="K295" i="1" l="1"/>
  <c r="I295" i="1"/>
  <c r="C296" i="1" l="1"/>
  <c r="H296" i="1" l="1"/>
  <c r="L296" i="1" s="1"/>
  <c r="F296" i="1"/>
  <c r="G296" i="1" l="1"/>
  <c r="K296" i="1" s="1"/>
  <c r="I296" i="1" l="1"/>
  <c r="C297" i="1" s="1"/>
  <c r="H297" i="1" l="1"/>
  <c r="L297" i="1" s="1"/>
  <c r="F297" i="1"/>
  <c r="G297" i="1" l="1"/>
  <c r="K297" i="1" s="1"/>
  <c r="I297" i="1" l="1"/>
  <c r="C298" i="1" s="1"/>
  <c r="F298" i="1" l="1"/>
  <c r="H298" i="1"/>
  <c r="L298" i="1" s="1"/>
  <c r="G298" i="1" l="1"/>
  <c r="K298" i="1" s="1"/>
  <c r="I298" i="1" l="1"/>
  <c r="C299" i="1" s="1"/>
  <c r="H299" i="1" l="1"/>
  <c r="L299" i="1" s="1"/>
  <c r="F299" i="1"/>
  <c r="G299" i="1" l="1"/>
  <c r="K299" i="1" s="1"/>
  <c r="I299" i="1" l="1"/>
  <c r="C300" i="1" s="1"/>
  <c r="F300" i="1" l="1"/>
  <c r="H300" i="1"/>
  <c r="L300" i="1" s="1"/>
  <c r="G300" i="1" l="1"/>
  <c r="K300" i="1" s="1"/>
  <c r="I300" i="1" l="1"/>
  <c r="C301" i="1" s="1"/>
  <c r="F301" i="1" l="1"/>
  <c r="H301" i="1"/>
  <c r="L301" i="1" s="1"/>
  <c r="G301" i="1" l="1"/>
  <c r="K301" i="1" l="1"/>
  <c r="I301" i="1"/>
  <c r="C302" i="1" l="1"/>
  <c r="H302" i="1" l="1"/>
  <c r="L302" i="1" s="1"/>
  <c r="F302" i="1"/>
  <c r="G302" i="1" l="1"/>
  <c r="K302" i="1" s="1"/>
  <c r="I302" i="1" l="1"/>
  <c r="C303" i="1" s="1"/>
  <c r="H303" i="1" l="1"/>
  <c r="L303" i="1" s="1"/>
  <c r="F303" i="1"/>
  <c r="G303" i="1" l="1"/>
  <c r="K303" i="1" s="1"/>
  <c r="I303" i="1" l="1"/>
  <c r="C304" i="1" s="1"/>
  <c r="F304" i="1" l="1"/>
  <c r="H304" i="1"/>
  <c r="L304" i="1" s="1"/>
  <c r="G304" i="1" l="1"/>
  <c r="K304" i="1" s="1"/>
  <c r="I304" i="1" l="1"/>
  <c r="C305" i="1" s="1"/>
  <c r="F305" i="1" l="1"/>
  <c r="H305" i="1"/>
  <c r="L305" i="1" s="1"/>
  <c r="G305" i="1" l="1"/>
  <c r="K305" i="1" l="1"/>
  <c r="I305" i="1"/>
  <c r="C306" i="1" l="1"/>
  <c r="F306" i="1" l="1"/>
  <c r="H306" i="1"/>
  <c r="L306" i="1" s="1"/>
  <c r="G306" i="1" l="1"/>
  <c r="K306" i="1" l="1"/>
  <c r="I306" i="1"/>
  <c r="C307" i="1" l="1"/>
  <c r="F307" i="1" l="1"/>
  <c r="H307" i="1"/>
  <c r="L307" i="1" s="1"/>
  <c r="G307" i="1" l="1"/>
  <c r="K307" i="1" l="1"/>
  <c r="I307" i="1"/>
  <c r="C308" i="1" l="1"/>
  <c r="F308" i="1" l="1"/>
  <c r="H308" i="1"/>
  <c r="L308" i="1" s="1"/>
  <c r="G308" i="1" l="1"/>
  <c r="K308" i="1" l="1"/>
  <c r="I308" i="1"/>
  <c r="C309" i="1" l="1"/>
  <c r="F309" i="1" l="1"/>
  <c r="H309" i="1"/>
  <c r="L309" i="1" s="1"/>
  <c r="G309" i="1" l="1"/>
  <c r="K309" i="1" s="1"/>
  <c r="I309" i="1" l="1"/>
  <c r="C310" i="1" s="1"/>
  <c r="H310" i="1" l="1"/>
  <c r="L310" i="1" s="1"/>
  <c r="F310" i="1"/>
  <c r="G310" i="1" l="1"/>
  <c r="K310" i="1" s="1"/>
  <c r="I310" i="1" l="1"/>
  <c r="C311" i="1" s="1"/>
  <c r="H311" i="1" l="1"/>
  <c r="L311" i="1" s="1"/>
  <c r="F311" i="1"/>
  <c r="G311" i="1" l="1"/>
  <c r="K311" i="1" s="1"/>
  <c r="I311" i="1" l="1"/>
  <c r="C312" i="1" s="1"/>
  <c r="H312" i="1" l="1"/>
  <c r="L312" i="1" s="1"/>
  <c r="F312" i="1"/>
  <c r="G312" i="1" l="1"/>
  <c r="K312" i="1" s="1"/>
  <c r="I312" i="1" l="1"/>
  <c r="C313" i="1" s="1"/>
  <c r="F313" i="1" l="1"/>
  <c r="H313" i="1"/>
  <c r="L313" i="1" s="1"/>
  <c r="G313" i="1" l="1"/>
  <c r="K313" i="1" l="1"/>
  <c r="I313" i="1"/>
  <c r="C314" i="1" l="1"/>
  <c r="F314" i="1" l="1"/>
  <c r="H314" i="1"/>
  <c r="L314" i="1" s="1"/>
  <c r="G314" i="1" l="1"/>
  <c r="K314" i="1" l="1"/>
  <c r="I314" i="1"/>
  <c r="C315" i="1" l="1"/>
  <c r="F315" i="1" l="1"/>
  <c r="H315" i="1"/>
  <c r="L315" i="1" s="1"/>
  <c r="G315" i="1" l="1"/>
  <c r="K315" i="1" l="1"/>
  <c r="I315" i="1"/>
  <c r="C316" i="1" l="1"/>
  <c r="F316" i="1" l="1"/>
  <c r="H316" i="1"/>
  <c r="L316" i="1" s="1"/>
  <c r="G316" i="1" l="1"/>
  <c r="K316" i="1" l="1"/>
  <c r="I316" i="1"/>
  <c r="C317" i="1" l="1"/>
  <c r="F317" i="1" l="1"/>
  <c r="H317" i="1"/>
  <c r="L317" i="1" s="1"/>
  <c r="G317" i="1" l="1"/>
  <c r="K317" i="1" l="1"/>
  <c r="I317" i="1"/>
  <c r="C318" i="1" l="1"/>
  <c r="H318" i="1" l="1"/>
  <c r="L318" i="1" s="1"/>
  <c r="F318" i="1"/>
  <c r="G318" i="1" l="1"/>
  <c r="K318" i="1" s="1"/>
  <c r="I318" i="1" l="1"/>
  <c r="C319" i="1" s="1"/>
  <c r="F319" i="1" l="1"/>
  <c r="H319" i="1"/>
  <c r="L319" i="1" s="1"/>
  <c r="G319" i="1" l="1"/>
  <c r="K319" i="1" l="1"/>
  <c r="I319" i="1"/>
  <c r="C320" i="1" l="1"/>
  <c r="F320" i="1" l="1"/>
  <c r="H320" i="1"/>
  <c r="L320" i="1" s="1"/>
  <c r="G320" i="1" l="1"/>
  <c r="K320" i="1" l="1"/>
  <c r="I320" i="1"/>
  <c r="C321" i="1" l="1"/>
  <c r="H321" i="1" l="1"/>
  <c r="L321" i="1" s="1"/>
  <c r="F321" i="1"/>
  <c r="G321" i="1" l="1"/>
  <c r="K321" i="1" s="1"/>
  <c r="I321" i="1" l="1"/>
  <c r="C322" i="1" s="1"/>
  <c r="H322" i="1" l="1"/>
  <c r="L322" i="1" s="1"/>
  <c r="F322" i="1"/>
  <c r="G322" i="1" l="1"/>
  <c r="K322" i="1" s="1"/>
  <c r="I322" i="1" l="1"/>
  <c r="C323" i="1" s="1"/>
  <c r="F323" i="1" l="1"/>
  <c r="H323" i="1"/>
  <c r="L323" i="1" s="1"/>
  <c r="G323" i="1" l="1"/>
  <c r="K323" i="1" l="1"/>
  <c r="I323" i="1"/>
  <c r="C324" i="1" l="1"/>
  <c r="H324" i="1" l="1"/>
  <c r="L324" i="1" s="1"/>
  <c r="F324" i="1"/>
  <c r="G324" i="1" l="1"/>
  <c r="K324" i="1" s="1"/>
  <c r="I324" i="1" l="1"/>
  <c r="C325" i="1" s="1"/>
  <c r="H325" i="1" l="1"/>
  <c r="L325" i="1" s="1"/>
  <c r="F325" i="1"/>
  <c r="G325" i="1" l="1"/>
  <c r="K325" i="1" s="1"/>
  <c r="I325" i="1" l="1"/>
  <c r="C326" i="1" s="1"/>
  <c r="H326" i="1" l="1"/>
  <c r="L326" i="1" s="1"/>
  <c r="F326" i="1"/>
  <c r="G326" i="1" l="1"/>
  <c r="K326" i="1" s="1"/>
  <c r="I326" i="1" l="1"/>
  <c r="C327" i="1" s="1"/>
  <c r="F327" i="1" l="1"/>
  <c r="H327" i="1"/>
  <c r="L327" i="1" s="1"/>
  <c r="G327" i="1" l="1"/>
  <c r="K327" i="1" l="1"/>
  <c r="I327" i="1"/>
  <c r="C328" i="1" l="1"/>
  <c r="H328" i="1" l="1"/>
  <c r="L328" i="1" s="1"/>
  <c r="F328" i="1"/>
  <c r="G328" i="1" l="1"/>
  <c r="K328" i="1" s="1"/>
  <c r="I328" i="1" l="1"/>
  <c r="C329" i="1" s="1"/>
  <c r="H329" i="1" l="1"/>
  <c r="L329" i="1" s="1"/>
  <c r="F329" i="1"/>
  <c r="G329" i="1" l="1"/>
  <c r="K329" i="1" s="1"/>
  <c r="I329" i="1" l="1"/>
  <c r="C330" i="1" s="1"/>
  <c r="H330" i="1" l="1"/>
  <c r="L330" i="1" s="1"/>
  <c r="F330" i="1"/>
  <c r="G330" i="1" l="1"/>
  <c r="K330" i="1" s="1"/>
  <c r="I330" i="1" l="1"/>
  <c r="C331" i="1" s="1"/>
  <c r="H331" i="1" l="1"/>
  <c r="L331" i="1" s="1"/>
  <c r="F331" i="1"/>
  <c r="G331" i="1" l="1"/>
  <c r="K331" i="1" s="1"/>
  <c r="I331" i="1" l="1"/>
  <c r="C332" i="1" s="1"/>
  <c r="F332" i="1" l="1"/>
  <c r="H332" i="1"/>
  <c r="L332" i="1" s="1"/>
  <c r="G332" i="1" l="1"/>
  <c r="K332" i="1" s="1"/>
  <c r="I332" i="1" l="1"/>
  <c r="C333" i="1" s="1"/>
  <c r="H333" i="1" l="1"/>
  <c r="L333" i="1" s="1"/>
  <c r="F333" i="1"/>
  <c r="G333" i="1" l="1"/>
  <c r="K333" i="1" s="1"/>
  <c r="I333" i="1" l="1"/>
  <c r="C334" i="1" s="1"/>
  <c r="H334" i="1" l="1"/>
  <c r="L334" i="1" s="1"/>
  <c r="F334" i="1"/>
  <c r="G334" i="1" l="1"/>
  <c r="K334" i="1" s="1"/>
  <c r="I334" i="1" l="1"/>
  <c r="C335" i="1" s="1"/>
  <c r="F335" i="1" l="1"/>
  <c r="H335" i="1"/>
  <c r="L335" i="1" s="1"/>
  <c r="G335" i="1" l="1"/>
  <c r="K335" i="1" l="1"/>
  <c r="I335" i="1"/>
  <c r="C336" i="1" l="1"/>
  <c r="H336" i="1" l="1"/>
  <c r="L336" i="1" s="1"/>
  <c r="F336" i="1"/>
  <c r="G336" i="1" l="1"/>
  <c r="K336" i="1" s="1"/>
  <c r="I336" i="1" l="1"/>
  <c r="C337" i="1" s="1"/>
  <c r="H337" i="1" l="1"/>
  <c r="L337" i="1" s="1"/>
  <c r="F337" i="1"/>
  <c r="G337" i="1" l="1"/>
  <c r="K337" i="1" s="1"/>
  <c r="I337" i="1" l="1"/>
  <c r="C338" i="1" s="1"/>
  <c r="H338" i="1" l="1"/>
  <c r="L338" i="1" s="1"/>
  <c r="F338" i="1"/>
  <c r="G338" i="1" l="1"/>
  <c r="K338" i="1" s="1"/>
  <c r="I338" i="1" l="1"/>
  <c r="C339" i="1" s="1"/>
  <c r="H339" i="1" s="1"/>
  <c r="L339" i="1" s="1"/>
  <c r="F339" i="1" l="1"/>
  <c r="G339" i="1" s="1"/>
  <c r="K339" i="1" s="1"/>
  <c r="I339" i="1" l="1"/>
  <c r="C340" i="1" s="1"/>
  <c r="H340" i="1" l="1"/>
  <c r="L340" i="1" s="1"/>
  <c r="F340" i="1"/>
  <c r="G340" i="1" l="1"/>
  <c r="K340" i="1" s="1"/>
  <c r="I340" i="1" l="1"/>
  <c r="C341" i="1" s="1"/>
  <c r="F341" i="1" l="1"/>
  <c r="H341" i="1"/>
  <c r="L341" i="1" s="1"/>
  <c r="G341" i="1" l="1"/>
  <c r="K341" i="1" l="1"/>
  <c r="I341" i="1"/>
  <c r="C342" i="1" l="1"/>
  <c r="H342" i="1" l="1"/>
  <c r="L342" i="1" s="1"/>
  <c r="F342" i="1"/>
  <c r="G342" i="1" l="1"/>
  <c r="K342" i="1" s="1"/>
  <c r="I342" i="1" l="1"/>
  <c r="C343" i="1" s="1"/>
  <c r="F343" i="1" l="1"/>
  <c r="H343" i="1"/>
  <c r="L343" i="1" s="1"/>
  <c r="G343" i="1" l="1"/>
  <c r="K343" i="1" l="1"/>
  <c r="I343" i="1"/>
  <c r="C344" i="1" l="1"/>
  <c r="H344" i="1" l="1"/>
  <c r="L344" i="1" s="1"/>
  <c r="F344" i="1"/>
  <c r="G344" i="1" l="1"/>
  <c r="K344" i="1" s="1"/>
  <c r="I344" i="1" l="1"/>
  <c r="C345" i="1" s="1"/>
  <c r="H345" i="1" l="1"/>
  <c r="L345" i="1" s="1"/>
  <c r="F345" i="1"/>
  <c r="G345" i="1" l="1"/>
  <c r="K345" i="1" s="1"/>
  <c r="I345" i="1" l="1"/>
  <c r="C346" i="1" s="1"/>
  <c r="H346" i="1" l="1"/>
  <c r="L346" i="1" s="1"/>
  <c r="F346" i="1"/>
  <c r="G346" i="1" l="1"/>
  <c r="K346" i="1" s="1"/>
  <c r="I346" i="1" l="1"/>
  <c r="C347" i="1" s="1"/>
  <c r="H347" i="1" l="1"/>
  <c r="L347" i="1" s="1"/>
  <c r="F347" i="1"/>
  <c r="G347" i="1" l="1"/>
  <c r="K347" i="1" s="1"/>
  <c r="I347" i="1" l="1"/>
  <c r="C348" i="1" s="1"/>
  <c r="H348" i="1" s="1"/>
  <c r="L348" i="1" s="1"/>
  <c r="F348" i="1" l="1"/>
  <c r="G348" i="1" s="1"/>
  <c r="K348" i="1" s="1"/>
  <c r="I348" i="1" l="1"/>
  <c r="C349" i="1" s="1"/>
  <c r="F349" i="1" l="1"/>
  <c r="H349" i="1"/>
  <c r="L349" i="1" s="1"/>
  <c r="G349" i="1" l="1"/>
  <c r="K349" i="1" l="1"/>
  <c r="I349" i="1"/>
  <c r="C350" i="1" s="1"/>
  <c r="H350" i="1" s="1"/>
  <c r="L350" i="1" s="1"/>
  <c r="F350" i="1" l="1"/>
  <c r="G350" i="1" s="1"/>
  <c r="K350" i="1" l="1"/>
  <c r="I350" i="1"/>
  <c r="C351" i="1" s="1"/>
  <c r="F351" i="1" l="1"/>
  <c r="H351" i="1"/>
  <c r="L351" i="1" s="1"/>
  <c r="G351" i="1" l="1"/>
  <c r="K351" i="1" l="1"/>
  <c r="I351" i="1"/>
  <c r="C352" i="1" l="1"/>
  <c r="H352" i="1" l="1"/>
  <c r="L352" i="1" s="1"/>
  <c r="F352" i="1"/>
  <c r="G352" i="1" l="1"/>
  <c r="K352" i="1" s="1"/>
  <c r="I352" i="1" l="1"/>
  <c r="C353" i="1" s="1"/>
  <c r="H353" i="1" l="1"/>
  <c r="L353" i="1" s="1"/>
  <c r="F353" i="1"/>
  <c r="G353" i="1" l="1"/>
  <c r="K353" i="1" s="1"/>
  <c r="I353" i="1" l="1"/>
  <c r="C354" i="1" s="1"/>
  <c r="H354" i="1" s="1"/>
  <c r="L354" i="1" s="1"/>
  <c r="F354" i="1" l="1"/>
  <c r="G354" i="1" s="1"/>
  <c r="K354" i="1" s="1"/>
  <c r="I354" i="1" l="1"/>
  <c r="C355" i="1" s="1"/>
  <c r="H355" i="1" l="1"/>
  <c r="L355" i="1" s="1"/>
  <c r="F355" i="1"/>
  <c r="G355" i="1" l="1"/>
  <c r="K355" i="1" s="1"/>
  <c r="I355" i="1" l="1"/>
  <c r="C356" i="1" s="1"/>
  <c r="H356" i="1" s="1"/>
  <c r="L356" i="1" s="1"/>
  <c r="F356" i="1" l="1"/>
  <c r="G356" i="1" s="1"/>
  <c r="K356" i="1" l="1"/>
  <c r="I356" i="1"/>
  <c r="C357" i="1" s="1"/>
  <c r="H357" i="1" l="1"/>
  <c r="L357" i="1" s="1"/>
  <c r="F357" i="1"/>
  <c r="G357" i="1" l="1"/>
  <c r="K357" i="1" s="1"/>
  <c r="I357" i="1" l="1"/>
  <c r="C358" i="1" s="1"/>
  <c r="H358" i="1" l="1"/>
  <c r="L358" i="1" s="1"/>
  <c r="F358" i="1"/>
  <c r="G358" i="1" l="1"/>
  <c r="K358" i="1" s="1"/>
  <c r="I358" i="1" l="1"/>
  <c r="C359" i="1" s="1"/>
  <c r="F359" i="1" l="1"/>
  <c r="H359" i="1"/>
  <c r="L359" i="1" s="1"/>
  <c r="G359" i="1" l="1"/>
  <c r="K359" i="1" l="1"/>
  <c r="I359" i="1"/>
  <c r="C360" i="1" l="1"/>
  <c r="H360" i="1" l="1"/>
  <c r="L360" i="1" s="1"/>
  <c r="F360" i="1"/>
  <c r="G360" i="1" l="1"/>
  <c r="K360" i="1" s="1"/>
  <c r="I360" i="1" l="1"/>
  <c r="C361" i="1" s="1"/>
  <c r="F361" i="1" l="1"/>
  <c r="H361" i="1"/>
  <c r="L361" i="1" s="1"/>
  <c r="G361" i="1" l="1"/>
  <c r="K361" i="1" l="1"/>
  <c r="I361" i="1"/>
  <c r="C362" i="1" l="1"/>
  <c r="F362" i="1" l="1"/>
  <c r="H362" i="1"/>
  <c r="L362" i="1" s="1"/>
  <c r="G362" i="1" l="1"/>
  <c r="K362" i="1" l="1"/>
  <c r="I362" i="1"/>
  <c r="C363" i="1" l="1"/>
  <c r="F363" i="1" l="1"/>
  <c r="H363" i="1"/>
  <c r="L363" i="1" s="1"/>
  <c r="G363" i="1" l="1"/>
  <c r="K363" i="1" l="1"/>
  <c r="I363" i="1"/>
  <c r="C364" i="1" l="1"/>
  <c r="F364" i="1" l="1"/>
  <c r="H364" i="1"/>
  <c r="L364" i="1" s="1"/>
  <c r="G364" i="1" l="1"/>
  <c r="K364" i="1" l="1"/>
  <c r="I364" i="1"/>
  <c r="C365" i="1" l="1"/>
  <c r="F365" i="1" l="1"/>
  <c r="H365" i="1"/>
  <c r="L365" i="1" s="1"/>
  <c r="G365" i="1" l="1"/>
  <c r="K365" i="1" l="1"/>
  <c r="I365" i="1"/>
  <c r="C366" i="1" l="1"/>
  <c r="H366" i="1" l="1"/>
  <c r="L366" i="1" s="1"/>
  <c r="F366" i="1"/>
  <c r="G366" i="1" l="1"/>
  <c r="K366" i="1" s="1"/>
  <c r="I366" i="1" l="1"/>
  <c r="C367" i="1" s="1"/>
  <c r="H367" i="1" l="1"/>
  <c r="L367" i="1" s="1"/>
  <c r="F367" i="1"/>
  <c r="G367" i="1" l="1"/>
  <c r="K367" i="1" s="1"/>
  <c r="I367" i="1" l="1"/>
  <c r="C368" i="1" s="1"/>
  <c r="H368" i="1" l="1"/>
  <c r="L368" i="1" s="1"/>
  <c r="F368" i="1"/>
  <c r="G368" i="1" l="1"/>
  <c r="K368" i="1" s="1"/>
  <c r="I368" i="1" l="1"/>
  <c r="C369" i="1" s="1"/>
  <c r="H369" i="1" l="1"/>
  <c r="L369" i="1" s="1"/>
  <c r="F369" i="1"/>
  <c r="G369" i="1" l="1"/>
  <c r="K369" i="1" s="1"/>
  <c r="I369" i="1" l="1"/>
  <c r="C370" i="1" s="1"/>
  <c r="H370" i="1" l="1"/>
  <c r="L370" i="1" s="1"/>
  <c r="F370" i="1"/>
  <c r="G370" i="1" l="1"/>
  <c r="K370" i="1" s="1"/>
  <c r="I370" i="1" l="1"/>
  <c r="C371" i="1" s="1"/>
  <c r="H371" i="1" l="1"/>
  <c r="L371" i="1" s="1"/>
  <c r="F371" i="1"/>
  <c r="G371" i="1" l="1"/>
  <c r="K371" i="1" s="1"/>
  <c r="I371" i="1" l="1"/>
  <c r="C372" i="1" s="1"/>
  <c r="H372" i="1" l="1"/>
  <c r="L372" i="1" s="1"/>
  <c r="F372" i="1"/>
  <c r="G372" i="1" l="1"/>
  <c r="K372" i="1" s="1"/>
  <c r="I372" i="1" l="1"/>
  <c r="C373" i="1" s="1"/>
  <c r="H373" i="1" l="1"/>
  <c r="L373" i="1" s="1"/>
  <c r="F373" i="1"/>
  <c r="G373" i="1" l="1"/>
  <c r="K373" i="1" s="1"/>
  <c r="I373" i="1" l="1"/>
  <c r="C374" i="1" s="1"/>
  <c r="H374" i="1" l="1"/>
  <c r="L374" i="1" s="1"/>
  <c r="F374" i="1"/>
  <c r="G374" i="1" l="1"/>
  <c r="K374" i="1" s="1"/>
  <c r="I374" i="1" l="1"/>
  <c r="C375" i="1" s="1"/>
  <c r="H375" i="1" l="1"/>
  <c r="L375" i="1" s="1"/>
  <c r="F375" i="1"/>
  <c r="G375" i="1" l="1"/>
  <c r="K375" i="1" s="1"/>
  <c r="I375" i="1" l="1"/>
  <c r="C376" i="1" s="1"/>
  <c r="F376" i="1" l="1"/>
  <c r="H376" i="1"/>
  <c r="L376" i="1" s="1"/>
  <c r="G376" i="1" l="1"/>
  <c r="K376" i="1" l="1"/>
  <c r="I376" i="1"/>
  <c r="C377" i="1" l="1"/>
  <c r="F377" i="1" l="1"/>
  <c r="H377" i="1"/>
  <c r="L377" i="1" s="1"/>
  <c r="G377" i="1" l="1"/>
  <c r="K377" i="1" l="1"/>
  <c r="I377" i="1"/>
  <c r="C378" i="1" l="1"/>
  <c r="H378" i="1" l="1"/>
  <c r="L378" i="1" s="1"/>
  <c r="F378" i="1"/>
  <c r="G378" i="1" l="1"/>
  <c r="K378" i="1" s="1"/>
  <c r="I378" i="1" l="1"/>
  <c r="C379" i="1" s="1"/>
  <c r="Q9" i="1" l="1"/>
  <c r="Q8" i="1"/>
  <c r="F379" i="1"/>
  <c r="H379" i="1"/>
  <c r="L379" i="1" s="1"/>
  <c r="G379" i="1" l="1"/>
  <c r="Q10" i="1"/>
  <c r="K379" i="1" l="1"/>
  <c r="I379" i="1"/>
  <c r="F15" i="5"/>
</calcChain>
</file>

<file path=xl/sharedStrings.xml><?xml version="1.0" encoding="utf-8"?>
<sst xmlns="http://schemas.openxmlformats.org/spreadsheetml/2006/main" count="168" uniqueCount="130">
  <si>
    <t>www.MortgageMark.com</t>
  </si>
  <si>
    <t>Instructions for how to use this worksheet</t>
  </si>
  <si>
    <t>Homestead</t>
  </si>
  <si>
    <t>Enter Values</t>
  </si>
  <si>
    <t>Prepaids</t>
  </si>
  <si>
    <t>Loan Summary</t>
  </si>
  <si>
    <t>Vacation Home</t>
  </si>
  <si>
    <t>Sales Price / Appraised Value</t>
  </si>
  <si>
    <t>Occupancy</t>
  </si>
  <si>
    <t>&lt;--- impacts taxes</t>
  </si>
  <si>
    <t>Tax Rate</t>
  </si>
  <si>
    <t>Monthly Payment (P&amp;I)</t>
  </si>
  <si>
    <t>Investment</t>
  </si>
  <si>
    <t>Down Payment Percentage</t>
  </si>
  <si>
    <t>Loan Program</t>
  </si>
  <si>
    <t>FHA</t>
  </si>
  <si>
    <t>Annual Taxes</t>
  </si>
  <si>
    <t>Scheduled Number of Payments</t>
  </si>
  <si>
    <t>First Time Use</t>
  </si>
  <si>
    <t>Monthly Taxes</t>
  </si>
  <si>
    <t>Actual Number of Payments</t>
  </si>
  <si>
    <t>Monthly Payment Breakdown</t>
  </si>
  <si>
    <t>Total Early Payments</t>
  </si>
  <si>
    <t>Subsequent Use</t>
  </si>
  <si>
    <t>Annual Interest Rate</t>
  </si>
  <si>
    <t>Principal and Interest (P&amp;I)</t>
  </si>
  <si>
    <t>Insurance Rate</t>
  </si>
  <si>
    <t>Total Interest Paid</t>
  </si>
  <si>
    <t>Exempt</t>
  </si>
  <si>
    <t>Loan Period (in Years)</t>
  </si>
  <si>
    <t>Property Taxes</t>
  </si>
  <si>
    <t>Annual Ins.</t>
  </si>
  <si>
    <t>Start Date of Loan</t>
  </si>
  <si>
    <t>Homeowner's Insurance</t>
  </si>
  <si>
    <t>Monthly Ins.</t>
  </si>
  <si>
    <t>Optional Extra Monthly Payment</t>
  </si>
  <si>
    <t>Mortgage Insurance</t>
  </si>
  <si>
    <t>Extra Features</t>
  </si>
  <si>
    <t>Total Payment (PITI)</t>
  </si>
  <si>
    <t>* The MI factors assume a credit of 720</t>
  </si>
  <si>
    <t>I/O Feature</t>
  </si>
  <si>
    <t>Homeowner's Association (HOA)</t>
  </si>
  <si>
    <t>MI Pmt</t>
  </si>
  <si>
    <t># of months for I/O Feature</t>
  </si>
  <si>
    <t>#</t>
  </si>
  <si>
    <t>Payment Date</t>
  </si>
  <si>
    <t>Beginning Balance</t>
  </si>
  <si>
    <t>Scheduled Payment</t>
  </si>
  <si>
    <t>Extra Payment</t>
  </si>
  <si>
    <t>Total Payment</t>
  </si>
  <si>
    <t>Principal
Portion</t>
  </si>
  <si>
    <t>Interest
Portion</t>
  </si>
  <si>
    <t>Ending 
Balance</t>
  </si>
  <si>
    <t>Total 
Principal</t>
  </si>
  <si>
    <t>Total 
Interest</t>
  </si>
  <si>
    <t>Housing Ratio</t>
  </si>
  <si>
    <t>Additional Debt Section (if needed)</t>
  </si>
  <si>
    <t>Additional Debt Section</t>
  </si>
  <si>
    <t>Payment</t>
  </si>
  <si>
    <t>Creditor / Description</t>
  </si>
  <si>
    <t>Balance</t>
  </si>
  <si>
    <t>New Mortgage Payment (PITI)</t>
  </si>
  <si>
    <t>Number of Payments Per Year</t>
  </si>
  <si>
    <t>New Mortgage HOA</t>
  </si>
  <si>
    <t>UFMIP</t>
  </si>
  <si>
    <t>MI</t>
  </si>
  <si>
    <t>Conventional</t>
  </si>
  <si>
    <t>VA</t>
  </si>
  <si>
    <t>USDA</t>
  </si>
  <si>
    <t>Conventional MI Factors</t>
  </si>
  <si>
    <t>LTV</t>
  </si>
  <si>
    <t>95.1 - 97%</t>
  </si>
  <si>
    <t>90.1-95%</t>
  </si>
  <si>
    <t>85.1-90%</t>
  </si>
  <si>
    <t>80.1-85%</t>
  </si>
  <si>
    <t>Debts from "Additional Debt Section"</t>
  </si>
  <si>
    <t>Total Monthly Debts</t>
  </si>
  <si>
    <t>FHA MI Factors &gt; 15 years</t>
  </si>
  <si>
    <t>Monthly</t>
  </si>
  <si>
    <t>Description</t>
  </si>
  <si>
    <t>Annual</t>
  </si>
  <si>
    <t>&lt;= 15</t>
  </si>
  <si>
    <t>Total Monthly Income</t>
  </si>
  <si>
    <t>Error: Occupancy must equal 'Homestead'</t>
  </si>
  <si>
    <t>Downpayment: Conv</t>
  </si>
  <si>
    <t>Error: Down payment must be 3% or more for Conv</t>
  </si>
  <si>
    <t>Downpayment: FHA</t>
  </si>
  <si>
    <t>Error: Down payment must be 3.5% or more for FHA</t>
  </si>
  <si>
    <t xml:space="preserve">Loan Limits </t>
  </si>
  <si>
    <t xml:space="preserve">Conforming </t>
  </si>
  <si>
    <t xml:space="preserve">FHA </t>
  </si>
  <si>
    <t xml:space="preserve">VA </t>
  </si>
  <si>
    <t>2/1 Buy Down Information</t>
  </si>
  <si>
    <t>&lt;--- Visit this site for more information</t>
  </si>
  <si>
    <t>Loan Parameters</t>
  </si>
  <si>
    <t>Rate and Payment Structure</t>
  </si>
  <si>
    <t>Purchase Price/Home Value</t>
  </si>
  <si>
    <t>Year</t>
  </si>
  <si>
    <t>Buydown Interest Rate</t>
  </si>
  <si>
    <t>Buydown P&amp;I Payment</t>
  </si>
  <si>
    <t>Buydown 
PITI Payment</t>
  </si>
  <si>
    <t># of Months</t>
  </si>
  <si>
    <t>Fully Amortized P&amp;I Payment</t>
  </si>
  <si>
    <t>Buydown Savings per Month</t>
  </si>
  <si>
    <t>Buydown Savings per Year</t>
  </si>
  <si>
    <t>Down Payment</t>
  </si>
  <si>
    <t>Year 1</t>
  </si>
  <si>
    <t>Year 2</t>
  </si>
  <si>
    <t>Year 3</t>
  </si>
  <si>
    <t xml:space="preserve">Year 4 </t>
  </si>
  <si>
    <t>Loan Amount</t>
  </si>
  <si>
    <t>3,2,1</t>
  </si>
  <si>
    <t xml:space="preserve">Rate - 3% </t>
  </si>
  <si>
    <t>Rate - 2%</t>
  </si>
  <si>
    <t>Rate - 1%</t>
  </si>
  <si>
    <t>Rate</t>
  </si>
  <si>
    <t xml:space="preserve">Note Rate   </t>
  </si>
  <si>
    <t>1,1,1</t>
  </si>
  <si>
    <t>Amortization Term (in months)</t>
  </si>
  <si>
    <t>2,1</t>
  </si>
  <si>
    <t>Annual Adjustments</t>
  </si>
  <si>
    <t>1,1</t>
  </si>
  <si>
    <t>Max Seller Concessions</t>
  </si>
  <si>
    <t>Cost</t>
  </si>
  <si>
    <t>1,0</t>
  </si>
  <si>
    <t xml:space="preserve">Rate - 1% </t>
  </si>
  <si>
    <t>Buydown cost must be paid by seller concession</t>
  </si>
  <si>
    <t>Total Buydown Cost</t>
  </si>
  <si>
    <t>Total Buydown Cost as % of Loan Amt</t>
  </si>
  <si>
    <t>Approximately: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</si>
</sst>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%_)"/>
    <numFmt numFmtId="169" formatCode="0.000%"/>
    <numFmt numFmtId="170" formatCode="0.0%"/>
    <numFmt numFmtId="171" formatCode="0.000"/>
    <numFmt numFmtId="172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23"/>
      <name val="Arial"/>
      <family val="2"/>
    </font>
    <font>
      <u/>
      <sz val="11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b/>
      <sz val="28"/>
      <color indexed="8"/>
      <name val="Arial"/>
      <family val="2"/>
    </font>
    <font>
      <sz val="6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  <scheme val="minor"/>
    </font>
    <font>
      <u/>
      <sz val="22"/>
      <color theme="10"/>
      <name val="Calibri"/>
      <family val="2"/>
      <scheme val="minor"/>
    </font>
    <font>
      <sz val="8"/>
      <name val="Arial Narrow"/>
      <family val="2"/>
    </font>
    <font>
      <u/>
      <sz val="48"/>
      <color theme="10"/>
      <name val="Arial Narrow"/>
      <family val="2"/>
    </font>
    <font>
      <sz val="4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0"/>
      <color indexed="10"/>
      <name val="Arial Narrow"/>
      <family val="2"/>
    </font>
    <font>
      <sz val="12"/>
      <color theme="1" tint="0.249977111117893"/>
      <name val="Arial Narrow"/>
      <family val="2"/>
    </font>
    <font>
      <sz val="16"/>
      <name val="Arial Narrow"/>
      <family val="2"/>
    </font>
    <font>
      <sz val="12"/>
      <color theme="1" tint="0.34998626667073579"/>
      <name val="Arial Narrow"/>
      <family val="2"/>
    </font>
    <font>
      <sz val="10"/>
      <name val="Arial Narrow"/>
      <family val="2"/>
    </font>
    <font>
      <sz val="12"/>
      <color indexed="10"/>
      <name val="Arial Narrow"/>
      <family val="2"/>
    </font>
    <font>
      <b/>
      <sz val="12"/>
      <color indexed="10"/>
      <name val="Arial Narrow"/>
      <family val="2"/>
    </font>
    <font>
      <sz val="11"/>
      <color theme="1"/>
      <name val="Arial Narrow"/>
      <family val="2"/>
    </font>
    <font>
      <b/>
      <sz val="8"/>
      <name val="Arial Narrow"/>
      <family val="2"/>
    </font>
    <font>
      <sz val="12"/>
      <color theme="1"/>
      <name val="Arial Narrow"/>
      <family val="2"/>
    </font>
    <font>
      <b/>
      <sz val="12"/>
      <color theme="1" tint="0.249977111117893"/>
      <name val="Arial Narrow"/>
      <family val="2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ck">
        <color indexed="54"/>
      </bottom>
      <diagonal/>
    </border>
    <border>
      <left/>
      <right/>
      <top style="thick">
        <color indexed="54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5" tint="-0.249977111117893"/>
      </left>
      <right/>
      <top/>
      <bottom style="hair">
        <color theme="5" tint="-0.249977111117893"/>
      </bottom>
      <diagonal/>
    </border>
    <border>
      <left/>
      <right/>
      <top/>
      <bottom style="hair">
        <color theme="5" tint="-0.249977111117893"/>
      </bottom>
      <diagonal/>
    </border>
    <border>
      <left/>
      <right style="hair">
        <color theme="5" tint="-0.249977111117893"/>
      </right>
      <top/>
      <bottom style="hair">
        <color theme="5" tint="-0.249977111117893"/>
      </bottom>
      <diagonal/>
    </border>
    <border>
      <left style="hair">
        <color indexed="16"/>
      </left>
      <right style="hair">
        <color indexed="16"/>
      </right>
      <top/>
      <bottom style="hair">
        <color theme="5" tint="-0.249977111117893"/>
      </bottom>
      <diagonal/>
    </border>
    <border>
      <left style="hair">
        <color indexed="16"/>
      </left>
      <right style="hair">
        <color theme="5" tint="-0.249977111117893"/>
      </right>
      <top style="hair">
        <color indexed="16"/>
      </top>
      <bottom style="hair">
        <color indexed="16"/>
      </bottom>
      <diagonal/>
    </border>
    <border>
      <left/>
      <right style="hair">
        <color theme="5" tint="-0.249977111117893"/>
      </right>
      <top/>
      <bottom/>
      <diagonal/>
    </border>
    <border>
      <left style="hair">
        <color indexed="16"/>
      </left>
      <right style="hair">
        <color theme="5" tint="-0.249977111117893"/>
      </right>
      <top/>
      <bottom style="hair">
        <color indexed="16"/>
      </bottom>
      <diagonal/>
    </border>
    <border>
      <left style="hair">
        <color theme="5" tint="-0.249977111117893"/>
      </left>
      <right style="hair">
        <color theme="5" tint="-0.249977111117893"/>
      </right>
      <top style="hair">
        <color theme="5" tint="-0.249977111117893"/>
      </top>
      <bottom style="hair">
        <color theme="5" tint="-0.249977111117893"/>
      </bottom>
      <diagonal/>
    </border>
    <border>
      <left style="hair">
        <color theme="5" tint="-0.249977111117893"/>
      </left>
      <right/>
      <top style="hair">
        <color theme="5" tint="-0.249977111117893"/>
      </top>
      <bottom/>
      <diagonal/>
    </border>
    <border>
      <left/>
      <right style="hair">
        <color theme="5" tint="-0.249977111117893"/>
      </right>
      <top style="hair">
        <color theme="5" tint="-0.249977111117893"/>
      </top>
      <bottom/>
      <diagonal/>
    </border>
    <border>
      <left style="hair">
        <color theme="5" tint="-0.249977111117893"/>
      </left>
      <right/>
      <top/>
      <bottom/>
      <diagonal/>
    </border>
    <border>
      <left style="hair">
        <color theme="5" tint="-0.249977111117893"/>
      </left>
      <right style="hair">
        <color theme="5" tint="-0.249977111117893"/>
      </right>
      <top style="hair">
        <color theme="5" tint="-0.249977111117893"/>
      </top>
      <bottom/>
      <diagonal/>
    </border>
    <border>
      <left style="hair">
        <color theme="5" tint="-0.249977111117893"/>
      </left>
      <right/>
      <top style="hair">
        <color theme="5" tint="-0.249977111117893"/>
      </top>
      <bottom style="hair">
        <color theme="5" tint="-0.249977111117893"/>
      </bottom>
      <diagonal/>
    </border>
    <border>
      <left/>
      <right/>
      <top style="hair">
        <color theme="5" tint="-0.249977111117893"/>
      </top>
      <bottom style="hair">
        <color theme="5" tint="-0.249977111117893"/>
      </bottom>
      <diagonal/>
    </border>
    <border>
      <left/>
      <right style="hair">
        <color theme="5" tint="-0.249977111117893"/>
      </right>
      <top style="hair">
        <color theme="5" tint="-0.249977111117893"/>
      </top>
      <bottom style="hair">
        <color theme="5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theme="1"/>
      </right>
      <top style="thin">
        <color theme="0" tint="-0.249977111117893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1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 tint="-0.249977111117893"/>
      </right>
      <top/>
      <bottom style="thin">
        <color theme="1"/>
      </bottom>
      <diagonal/>
    </border>
    <border>
      <left style="thin">
        <color theme="1"/>
      </left>
      <right style="thin">
        <color theme="0" tint="-0.249977111117893"/>
      </right>
      <top/>
      <bottom style="thin">
        <color theme="1"/>
      </bottom>
      <diagonal/>
    </border>
    <border>
      <left style="thin">
        <color theme="1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0" tint="-0.249977111117893"/>
      </top>
      <bottom style="thin">
        <color theme="1"/>
      </bottom>
      <diagonal/>
    </border>
    <border>
      <left/>
      <right style="thin">
        <color theme="1"/>
      </right>
      <top/>
      <bottom style="thin">
        <color theme="0" tint="-0.249977111117893"/>
      </bottom>
      <diagonal/>
    </border>
    <border>
      <left style="thin">
        <color theme="1"/>
      </left>
      <right style="thin">
        <color theme="0" tint="-0.249977111117893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0" tint="-0.249977111117893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 tint="-0.249977111117893"/>
      </right>
      <top style="thin">
        <color theme="1"/>
      </top>
      <bottom style="thin">
        <color theme="0" tint="-0.249977111117893"/>
      </bottom>
      <diagonal/>
    </border>
    <border>
      <left/>
      <right/>
      <top style="thin">
        <color theme="1"/>
      </top>
      <bottom style="thin">
        <color theme="0" tint="-0.249977111117893"/>
      </bottom>
      <diagonal/>
    </border>
    <border>
      <left/>
      <right style="thin">
        <color theme="1"/>
      </right>
      <top style="thin">
        <color theme="1"/>
      </top>
      <bottom style="thin">
        <color theme="0" tint="-0.249977111117893"/>
      </bottom>
      <diagonal/>
    </border>
    <border>
      <left/>
      <right style="hair">
        <color theme="5" tint="0.39997558519241921"/>
      </right>
      <top/>
      <bottom/>
      <diagonal/>
    </border>
    <border>
      <left/>
      <right style="hair">
        <color theme="5" tint="-0.249977111117893"/>
      </right>
      <top style="medium">
        <color theme="5" tint="-0.249977111117893"/>
      </top>
      <bottom style="hair">
        <color theme="5" tint="0.39997558519241921"/>
      </bottom>
      <diagonal/>
    </border>
    <border>
      <left style="hair">
        <color theme="5" tint="-0.249977111117893"/>
      </left>
      <right style="hair">
        <color theme="5" tint="-0.249977111117893"/>
      </right>
      <top style="medium">
        <color theme="5" tint="-0.249977111117893"/>
      </top>
      <bottom style="hair">
        <color theme="5" tint="0.39997558519241921"/>
      </bottom>
      <diagonal/>
    </border>
    <border>
      <left style="hair">
        <color theme="5" tint="0.39997558519241921"/>
      </left>
      <right/>
      <top style="medium">
        <color theme="5" tint="-0.249977111117893"/>
      </top>
      <bottom style="hair">
        <color theme="5" tint="0.39997558519241921"/>
      </bottom>
      <diagonal/>
    </border>
    <border>
      <left/>
      <right style="hair">
        <color theme="5" tint="0.39997558519241921"/>
      </right>
      <top style="hair">
        <color theme="5" tint="-0.249977111117893"/>
      </top>
      <bottom/>
      <diagonal/>
    </border>
    <border>
      <left style="hair">
        <color theme="5" tint="-0.249977111117893"/>
      </left>
      <right style="hair">
        <color theme="5" tint="-0.249977111117893"/>
      </right>
      <top style="hair">
        <color theme="5" tint="0.39997558519241921"/>
      </top>
      <bottom style="hair">
        <color theme="5" tint="-0.249977111117893"/>
      </bottom>
      <diagonal/>
    </border>
    <border>
      <left style="hair">
        <color theme="5" tint="0.39997558519241921"/>
      </left>
      <right style="hair">
        <color theme="5" tint="0.39997558519241921"/>
      </right>
      <top style="hair">
        <color theme="5" tint="0.39997558519241921"/>
      </top>
      <bottom style="hair">
        <color theme="5" tint="0.39997558519241921"/>
      </bottom>
      <diagonal/>
    </border>
    <border>
      <left style="thin">
        <color theme="0" tint="-0.249977111117893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15">
    <xf numFmtId="0" fontId="0" fillId="0" borderId="0" xfId="0"/>
    <xf numFmtId="0" fontId="3" fillId="0" borderId="0" xfId="3" applyProtection="1">
      <protection hidden="1"/>
    </xf>
    <xf numFmtId="0" fontId="3" fillId="2" borderId="2" xfId="3" applyFill="1" applyBorder="1" applyProtection="1">
      <protection hidden="1"/>
    </xf>
    <xf numFmtId="0" fontId="3" fillId="2" borderId="0" xfId="3" applyFill="1" applyProtection="1">
      <protection hidden="1"/>
    </xf>
    <xf numFmtId="0" fontId="3" fillId="2" borderId="0" xfId="3" applyFill="1" applyAlignment="1" applyProtection="1">
      <alignment horizontal="center"/>
      <protection hidden="1"/>
    </xf>
    <xf numFmtId="0" fontId="3" fillId="2" borderId="6" xfId="3" applyFill="1" applyBorder="1" applyAlignment="1" applyProtection="1">
      <alignment horizontal="left"/>
      <protection hidden="1"/>
    </xf>
    <xf numFmtId="0" fontId="3" fillId="2" borderId="0" xfId="3" applyFill="1" applyAlignment="1" applyProtection="1">
      <alignment horizontal="right"/>
      <protection hidden="1"/>
    </xf>
    <xf numFmtId="0" fontId="3" fillId="2" borderId="9" xfId="3" applyFill="1" applyBorder="1" applyAlignment="1" applyProtection="1">
      <alignment horizontal="left"/>
      <protection hidden="1"/>
    </xf>
    <xf numFmtId="0" fontId="3" fillId="2" borderId="10" xfId="3" applyFill="1" applyBorder="1" applyAlignment="1" applyProtection="1">
      <alignment horizontal="right"/>
      <protection hidden="1"/>
    </xf>
    <xf numFmtId="164" fontId="3" fillId="4" borderId="7" xfId="4" applyNumberFormat="1" applyFill="1" applyBorder="1" applyAlignment="1">
      <alignment horizontal="right"/>
    </xf>
    <xf numFmtId="164" fontId="3" fillId="4" borderId="8" xfId="3" applyNumberFormat="1" applyFill="1" applyBorder="1" applyAlignment="1" applyProtection="1">
      <alignment horizontal="right"/>
      <protection hidden="1"/>
    </xf>
    <xf numFmtId="42" fontId="3" fillId="2" borderId="0" xfId="3" applyNumberFormat="1" applyFill="1" applyProtection="1">
      <protection hidden="1"/>
    </xf>
    <xf numFmtId="0" fontId="3" fillId="0" borderId="0" xfId="3" applyAlignment="1" applyProtection="1">
      <alignment wrapText="1"/>
      <protection hidden="1"/>
    </xf>
    <xf numFmtId="0" fontId="4" fillId="2" borderId="2" xfId="3" applyFont="1" applyFill="1" applyBorder="1" applyAlignment="1" applyProtection="1">
      <alignment horizontal="left" wrapText="1" indent="2"/>
      <protection hidden="1"/>
    </xf>
    <xf numFmtId="0" fontId="4" fillId="2" borderId="2" xfId="3" applyFont="1" applyFill="1" applyBorder="1" applyAlignment="1" applyProtection="1">
      <alignment horizontal="left" wrapText="1" indent="3"/>
      <protection hidden="1"/>
    </xf>
    <xf numFmtId="0" fontId="6" fillId="2" borderId="0" xfId="3" applyFont="1" applyFill="1" applyAlignment="1" applyProtection="1">
      <alignment horizontal="right"/>
      <protection hidden="1"/>
    </xf>
    <xf numFmtId="14" fontId="6" fillId="2" borderId="0" xfId="3" applyNumberFormat="1" applyFont="1" applyFill="1" applyAlignment="1" applyProtection="1">
      <alignment horizontal="right"/>
      <protection hidden="1"/>
    </xf>
    <xf numFmtId="42" fontId="6" fillId="2" borderId="0" xfId="4" applyNumberFormat="1" applyFont="1" applyFill="1" applyAlignment="1" applyProtection="1">
      <alignment horizontal="right"/>
      <protection hidden="1"/>
    </xf>
    <xf numFmtId="42" fontId="6" fillId="0" borderId="0" xfId="3" applyNumberFormat="1" applyFont="1" applyAlignment="1" applyProtection="1">
      <alignment wrapText="1"/>
      <protection hidden="1"/>
    </xf>
    <xf numFmtId="0" fontId="3" fillId="7" borderId="0" xfId="3" applyFill="1" applyAlignment="1" applyProtection="1">
      <alignment wrapText="1"/>
      <protection hidden="1"/>
    </xf>
    <xf numFmtId="3" fontId="6" fillId="2" borderId="0" xfId="4" applyNumberFormat="1" applyFont="1" applyFill="1" applyAlignment="1" applyProtection="1">
      <alignment horizontal="right"/>
      <protection hidden="1"/>
    </xf>
    <xf numFmtId="3" fontId="3" fillId="0" borderId="0" xfId="3" applyNumberFormat="1" applyProtection="1">
      <protection hidden="1"/>
    </xf>
    <xf numFmtId="3" fontId="6" fillId="0" borderId="0" xfId="3" applyNumberFormat="1" applyFont="1" applyAlignment="1" applyProtection="1">
      <alignment wrapText="1"/>
      <protection hidden="1"/>
    </xf>
    <xf numFmtId="0" fontId="3" fillId="7" borderId="0" xfId="3" applyFill="1" applyProtection="1">
      <protection hidden="1"/>
    </xf>
    <xf numFmtId="165" fontId="3" fillId="7" borderId="0" xfId="3" applyNumberFormat="1" applyFill="1" applyProtection="1">
      <protection hidden="1"/>
    </xf>
    <xf numFmtId="16" fontId="3" fillId="7" borderId="0" xfId="3" applyNumberFormat="1" applyFill="1" applyProtection="1">
      <protection hidden="1"/>
    </xf>
    <xf numFmtId="16" fontId="3" fillId="0" borderId="0" xfId="3" applyNumberFormat="1" applyProtection="1">
      <protection hidden="1"/>
    </xf>
    <xf numFmtId="0" fontId="3" fillId="0" borderId="0" xfId="3" applyAlignment="1" applyProtection="1">
      <alignment horizontal="center"/>
      <protection hidden="1"/>
    </xf>
    <xf numFmtId="3" fontId="3" fillId="0" borderId="0" xfId="3" applyNumberFormat="1" applyAlignment="1" applyProtection="1">
      <alignment horizontal="center"/>
      <protection hidden="1"/>
    </xf>
    <xf numFmtId="0" fontId="3" fillId="2" borderId="2" xfId="3" applyFill="1" applyBorder="1"/>
    <xf numFmtId="0" fontId="3" fillId="2" borderId="0" xfId="3" applyFill="1"/>
    <xf numFmtId="0" fontId="3" fillId="2" borderId="0" xfId="3" applyFill="1" applyAlignment="1">
      <alignment horizontal="left"/>
    </xf>
    <xf numFmtId="0" fontId="4" fillId="2" borderId="2" xfId="3" applyFont="1" applyFill="1" applyBorder="1" applyAlignment="1">
      <alignment horizontal="left" wrapText="1" indent="2"/>
    </xf>
    <xf numFmtId="3" fontId="3" fillId="0" borderId="0" xfId="3" applyNumberFormat="1" applyAlignment="1">
      <alignment horizontal="center"/>
    </xf>
    <xf numFmtId="0" fontId="3" fillId="0" borderId="0" xfId="3" applyAlignment="1">
      <alignment horizontal="center"/>
    </xf>
    <xf numFmtId="10" fontId="3" fillId="0" borderId="0" xfId="2" applyNumberFormat="1" applyFont="1" applyProtection="1">
      <protection hidden="1"/>
    </xf>
    <xf numFmtId="0" fontId="4" fillId="11" borderId="0" xfId="3" applyFont="1" applyFill="1" applyProtection="1">
      <protection hidden="1"/>
    </xf>
    <xf numFmtId="10" fontId="4" fillId="11" borderId="0" xfId="2" applyNumberFormat="1" applyFont="1" applyFill="1" applyProtection="1">
      <protection hidden="1"/>
    </xf>
    <xf numFmtId="0" fontId="4" fillId="11" borderId="0" xfId="2" applyNumberFormat="1" applyFont="1" applyFill="1" applyProtection="1">
      <protection hidden="1"/>
    </xf>
    <xf numFmtId="164" fontId="3" fillId="3" borderId="3" xfId="3" applyNumberFormat="1" applyFill="1" applyBorder="1" applyAlignment="1" applyProtection="1">
      <alignment horizontal="right"/>
      <protection locked="0" hidden="1"/>
    </xf>
    <xf numFmtId="0" fontId="3" fillId="0" borderId="0" xfId="3" applyAlignment="1" applyProtection="1">
      <alignment horizontal="right"/>
      <protection hidden="1"/>
    </xf>
    <xf numFmtId="0" fontId="3" fillId="12" borderId="0" xfId="3" applyFill="1" applyAlignment="1">
      <alignment horizontal="left"/>
    </xf>
    <xf numFmtId="0" fontId="3" fillId="12" borderId="0" xfId="3" applyFill="1"/>
    <xf numFmtId="0" fontId="3" fillId="12" borderId="0" xfId="3" applyFill="1" applyAlignment="1" applyProtection="1">
      <alignment horizontal="left"/>
      <protection hidden="1"/>
    </xf>
    <xf numFmtId="0" fontId="3" fillId="12" borderId="0" xfId="3" applyFill="1" applyProtection="1">
      <protection hidden="1"/>
    </xf>
    <xf numFmtId="0" fontId="4" fillId="2" borderId="11" xfId="3" applyFont="1" applyFill="1" applyBorder="1" applyAlignment="1" applyProtection="1">
      <alignment horizontal="right" wrapText="1"/>
      <protection hidden="1"/>
    </xf>
    <xf numFmtId="0" fontId="4" fillId="2" borderId="0" xfId="3" applyFont="1" applyFill="1" applyAlignment="1" applyProtection="1">
      <alignment horizontal="right" wrapText="1"/>
      <protection hidden="1"/>
    </xf>
    <xf numFmtId="0" fontId="3" fillId="12" borderId="0" xfId="3" applyFill="1" applyAlignment="1" applyProtection="1">
      <alignment horizontal="center"/>
      <protection hidden="1"/>
    </xf>
    <xf numFmtId="166" fontId="3" fillId="13" borderId="7" xfId="4" applyNumberFormat="1" applyFill="1" applyBorder="1" applyAlignment="1" applyProtection="1">
      <alignment horizontal="right"/>
      <protection hidden="1"/>
    </xf>
    <xf numFmtId="1" fontId="3" fillId="13" borderId="7" xfId="4" applyNumberFormat="1" applyFill="1" applyBorder="1" applyAlignment="1" applyProtection="1">
      <alignment horizontal="right"/>
      <protection hidden="1"/>
    </xf>
    <xf numFmtId="0" fontId="3" fillId="12" borderId="0" xfId="3" applyFill="1" applyAlignment="1" applyProtection="1">
      <alignment horizontal="right"/>
      <protection hidden="1"/>
    </xf>
    <xf numFmtId="44" fontId="3" fillId="12" borderId="0" xfId="3" applyNumberFormat="1" applyFill="1" applyAlignment="1" applyProtection="1">
      <alignment horizontal="center"/>
      <protection hidden="1"/>
    </xf>
    <xf numFmtId="166" fontId="3" fillId="13" borderId="18" xfId="4" applyNumberFormat="1" applyFill="1" applyBorder="1" applyAlignment="1" applyProtection="1">
      <alignment horizontal="right"/>
      <protection hidden="1"/>
    </xf>
    <xf numFmtId="167" fontId="3" fillId="13" borderId="21" xfId="5" applyNumberFormat="1" applyFont="1" applyFill="1" applyBorder="1" applyAlignment="1" applyProtection="1">
      <alignment horizontal="right"/>
      <protection hidden="1"/>
    </xf>
    <xf numFmtId="42" fontId="3" fillId="13" borderId="22" xfId="3" applyNumberFormat="1" applyFill="1" applyBorder="1" applyProtection="1">
      <protection hidden="1"/>
    </xf>
    <xf numFmtId="9" fontId="3" fillId="2" borderId="0" xfId="3" applyNumberFormat="1" applyFill="1" applyAlignment="1">
      <alignment horizontal="left"/>
    </xf>
    <xf numFmtId="0" fontId="3" fillId="12" borderId="15" xfId="3" applyFill="1" applyBorder="1" applyAlignment="1" applyProtection="1">
      <alignment horizontal="center"/>
      <protection hidden="1"/>
    </xf>
    <xf numFmtId="0" fontId="10" fillId="12" borderId="23" xfId="3" applyFont="1" applyFill="1" applyBorder="1" applyAlignment="1" applyProtection="1">
      <alignment horizontal="right"/>
      <protection hidden="1"/>
    </xf>
    <xf numFmtId="0" fontId="10" fillId="12" borderId="0" xfId="3" applyFont="1" applyFill="1" applyAlignment="1" applyProtection="1">
      <alignment horizontal="left"/>
      <protection hidden="1"/>
    </xf>
    <xf numFmtId="41" fontId="3" fillId="5" borderId="0" xfId="4" applyNumberFormat="1" applyFill="1" applyAlignment="1" applyProtection="1">
      <alignment horizontal="right"/>
      <protection locked="0"/>
    </xf>
    <xf numFmtId="0" fontId="10" fillId="12" borderId="0" xfId="3" applyFont="1" applyFill="1" applyProtection="1">
      <protection hidden="1"/>
    </xf>
    <xf numFmtId="0" fontId="3" fillId="12" borderId="23" xfId="3" applyFill="1" applyBorder="1" applyProtection="1">
      <protection hidden="1"/>
    </xf>
    <xf numFmtId="0" fontId="3" fillId="12" borderId="25" xfId="3" applyFill="1" applyBorder="1" applyProtection="1">
      <protection hidden="1"/>
    </xf>
    <xf numFmtId="0" fontId="3" fillId="12" borderId="15" xfId="3" applyFill="1" applyBorder="1" applyProtection="1">
      <protection hidden="1"/>
    </xf>
    <xf numFmtId="42" fontId="3" fillId="12" borderId="22" xfId="3" applyNumberFormat="1" applyFill="1" applyBorder="1" applyProtection="1">
      <protection hidden="1"/>
    </xf>
    <xf numFmtId="0" fontId="3" fillId="12" borderId="28" xfId="3" applyFill="1" applyBorder="1" applyProtection="1">
      <protection hidden="1"/>
    </xf>
    <xf numFmtId="0" fontId="3" fillId="12" borderId="24" xfId="3" applyFill="1" applyBorder="1" applyProtection="1">
      <protection hidden="1"/>
    </xf>
    <xf numFmtId="0" fontId="3" fillId="12" borderId="26" xfId="3" applyFill="1" applyBorder="1" applyProtection="1">
      <protection hidden="1"/>
    </xf>
    <xf numFmtId="0" fontId="4" fillId="14" borderId="0" xfId="3" applyFont="1" applyFill="1" applyProtection="1">
      <protection hidden="1"/>
    </xf>
    <xf numFmtId="42" fontId="4" fillId="6" borderId="31" xfId="3" applyNumberFormat="1" applyFont="1" applyFill="1" applyBorder="1" applyProtection="1">
      <protection hidden="1"/>
    </xf>
    <xf numFmtId="166" fontId="3" fillId="13" borderId="21" xfId="1" applyNumberFormat="1" applyFont="1" applyFill="1" applyBorder="1" applyAlignment="1" applyProtection="1">
      <alignment horizontal="right"/>
      <protection hidden="1"/>
    </xf>
    <xf numFmtId="0" fontId="3" fillId="12" borderId="0" xfId="3" applyFill="1" applyAlignment="1" applyProtection="1">
      <alignment wrapText="1"/>
      <protection hidden="1"/>
    </xf>
    <xf numFmtId="42" fontId="3" fillId="12" borderId="0" xfId="3" applyNumberFormat="1" applyFill="1" applyProtection="1">
      <protection hidden="1"/>
    </xf>
    <xf numFmtId="3" fontId="3" fillId="12" borderId="0" xfId="3" applyNumberFormat="1" applyFill="1" applyProtection="1">
      <protection hidden="1"/>
    </xf>
    <xf numFmtId="0" fontId="4" fillId="2" borderId="11" xfId="3" applyFont="1" applyFill="1" applyBorder="1" applyAlignment="1">
      <alignment horizontal="right" wrapText="1"/>
    </xf>
    <xf numFmtId="0" fontId="3" fillId="12" borderId="0" xfId="3" applyFill="1" applyAlignment="1" applyProtection="1">
      <alignment horizontal="right"/>
      <protection locked="0" hidden="1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36" xfId="0" applyBorder="1" applyProtection="1">
      <protection locked="0"/>
    </xf>
    <xf numFmtId="0" fontId="4" fillId="15" borderId="27" xfId="3" applyFont="1" applyFill="1" applyBorder="1" applyProtection="1">
      <protection hidden="1"/>
    </xf>
    <xf numFmtId="0" fontId="4" fillId="15" borderId="29" xfId="3" applyFont="1" applyFill="1" applyBorder="1" applyProtection="1">
      <protection hidden="1"/>
    </xf>
    <xf numFmtId="0" fontId="3" fillId="12" borderId="16" xfId="3" applyFill="1" applyBorder="1" applyAlignment="1" applyProtection="1">
      <alignment horizontal="left"/>
      <protection hidden="1"/>
    </xf>
    <xf numFmtId="166" fontId="0" fillId="5" borderId="37" xfId="1" applyNumberFormat="1" applyFont="1" applyFill="1" applyBorder="1" applyProtection="1">
      <protection locked="0" hidden="1"/>
    </xf>
    <xf numFmtId="166" fontId="0" fillId="0" borderId="41" xfId="1" applyNumberFormat="1" applyFont="1" applyFill="1" applyBorder="1" applyProtection="1">
      <protection locked="0" hidden="1"/>
    </xf>
    <xf numFmtId="166" fontId="0" fillId="0" borderId="45" xfId="1" applyNumberFormat="1" applyFont="1" applyFill="1" applyBorder="1" applyProtection="1">
      <protection locked="0" hidden="1"/>
    </xf>
    <xf numFmtId="0" fontId="0" fillId="0" borderId="39" xfId="0" applyBorder="1" applyProtection="1">
      <protection locked="0"/>
    </xf>
    <xf numFmtId="166" fontId="2" fillId="17" borderId="48" xfId="1" applyNumberFormat="1" applyFont="1" applyFill="1" applyBorder="1"/>
    <xf numFmtId="166" fontId="2" fillId="17" borderId="49" xfId="0" applyNumberFormat="1" applyFont="1" applyFill="1" applyBorder="1"/>
    <xf numFmtId="166" fontId="2" fillId="17" borderId="50" xfId="1" applyNumberFormat="1" applyFont="1" applyFill="1" applyBorder="1"/>
    <xf numFmtId="166" fontId="0" fillId="0" borderId="51" xfId="1" applyNumberFormat="1" applyFont="1" applyFill="1" applyBorder="1" applyProtection="1">
      <protection locked="0" hidden="1"/>
    </xf>
    <xf numFmtId="166" fontId="0" fillId="5" borderId="38" xfId="1" applyNumberFormat="1" applyFont="1" applyFill="1" applyBorder="1" applyProtection="1">
      <protection locked="0" hidden="1"/>
    </xf>
    <xf numFmtId="0" fontId="0" fillId="13" borderId="43" xfId="0" applyFill="1" applyBorder="1"/>
    <xf numFmtId="0" fontId="0" fillId="13" borderId="44" xfId="0" applyFill="1" applyBorder="1"/>
    <xf numFmtId="166" fontId="0" fillId="5" borderId="52" xfId="1" applyNumberFormat="1" applyFont="1" applyFill="1" applyBorder="1" applyProtection="1">
      <protection locked="0" hidden="1"/>
    </xf>
    <xf numFmtId="166" fontId="0" fillId="5" borderId="42" xfId="1" applyNumberFormat="1" applyFont="1" applyFill="1" applyBorder="1" applyProtection="1">
      <protection locked="0" hidden="1"/>
    </xf>
    <xf numFmtId="0" fontId="0" fillId="0" borderId="43" xfId="0" applyBorder="1" applyProtection="1">
      <protection locked="0"/>
    </xf>
    <xf numFmtId="0" fontId="0" fillId="0" borderId="55" xfId="0" applyBorder="1" applyProtection="1">
      <protection locked="0"/>
    </xf>
    <xf numFmtId="166" fontId="0" fillId="5" borderId="60" xfId="0" applyNumberFormat="1" applyFill="1" applyBorder="1" applyProtection="1">
      <protection locked="0"/>
    </xf>
    <xf numFmtId="166" fontId="0" fillId="5" borderId="64" xfId="0" applyNumberFormat="1" applyFill="1" applyBorder="1" applyProtection="1">
      <protection locked="0"/>
    </xf>
    <xf numFmtId="166" fontId="0" fillId="5" borderId="33" xfId="0" applyNumberFormat="1" applyFill="1" applyBorder="1" applyProtection="1">
      <protection locked="0"/>
    </xf>
    <xf numFmtId="166" fontId="0" fillId="5" borderId="65" xfId="0" applyNumberFormat="1" applyFill="1" applyBorder="1" applyProtection="1">
      <protection locked="0"/>
    </xf>
    <xf numFmtId="0" fontId="3" fillId="7" borderId="66" xfId="3" applyFill="1" applyBorder="1" applyProtection="1">
      <protection hidden="1"/>
    </xf>
    <xf numFmtId="166" fontId="0" fillId="0" borderId="63" xfId="0" applyNumberFormat="1" applyBorder="1"/>
    <xf numFmtId="166" fontId="0" fillId="0" borderId="54" xfId="0" applyNumberFormat="1" applyBorder="1"/>
    <xf numFmtId="0" fontId="3" fillId="7" borderId="62" xfId="3" applyFill="1" applyBorder="1" applyProtection="1">
      <protection hidden="1"/>
    </xf>
    <xf numFmtId="0" fontId="2" fillId="9" borderId="48" xfId="0" applyFont="1" applyFill="1" applyBorder="1" applyAlignment="1">
      <alignment horizontal="center"/>
    </xf>
    <xf numFmtId="0" fontId="2" fillId="9" borderId="49" xfId="0" applyFont="1" applyFill="1" applyBorder="1" applyAlignment="1">
      <alignment horizontal="center"/>
    </xf>
    <xf numFmtId="0" fontId="2" fillId="9" borderId="54" xfId="0" applyFont="1" applyFill="1" applyBorder="1" applyAlignment="1">
      <alignment horizontal="center"/>
    </xf>
    <xf numFmtId="0" fontId="2" fillId="9" borderId="67" xfId="0" applyFont="1" applyFill="1" applyBorder="1" applyAlignment="1">
      <alignment horizontal="center"/>
    </xf>
    <xf numFmtId="0" fontId="2" fillId="9" borderId="63" xfId="0" applyFont="1" applyFill="1" applyBorder="1" applyAlignment="1">
      <alignment horizontal="center"/>
    </xf>
    <xf numFmtId="165" fontId="2" fillId="9" borderId="48" xfId="0" applyNumberFormat="1" applyFont="1" applyFill="1" applyBorder="1" applyAlignment="1">
      <alignment horizontal="center"/>
    </xf>
    <xf numFmtId="0" fontId="2" fillId="9" borderId="50" xfId="0" applyFont="1" applyFill="1" applyBorder="1" applyAlignment="1">
      <alignment horizontal="center"/>
    </xf>
    <xf numFmtId="166" fontId="0" fillId="0" borderId="50" xfId="0" applyNumberFormat="1" applyBorder="1"/>
    <xf numFmtId="166" fontId="0" fillId="13" borderId="56" xfId="1" applyNumberFormat="1" applyFont="1" applyFill="1" applyBorder="1" applyProtection="1">
      <protection locked="0"/>
    </xf>
    <xf numFmtId="166" fontId="0" fillId="13" borderId="68" xfId="1" applyNumberFormat="1" applyFont="1" applyFill="1" applyBorder="1" applyProtection="1">
      <protection locked="0"/>
    </xf>
    <xf numFmtId="0" fontId="0" fillId="13" borderId="69" xfId="0" applyFill="1" applyBorder="1"/>
    <xf numFmtId="0" fontId="0" fillId="13" borderId="70" xfId="0" applyFill="1" applyBorder="1"/>
    <xf numFmtId="166" fontId="0" fillId="5" borderId="46" xfId="1" applyNumberFormat="1" applyFont="1" applyFill="1" applyBorder="1" applyProtection="1">
      <protection locked="0" hidden="1"/>
    </xf>
    <xf numFmtId="166" fontId="0" fillId="5" borderId="47" xfId="1" applyNumberFormat="1" applyFont="1" applyFill="1" applyBorder="1" applyProtection="1">
      <protection locked="0" hidden="1"/>
    </xf>
    <xf numFmtId="0" fontId="2" fillId="9" borderId="53" xfId="0" applyFont="1" applyFill="1" applyBorder="1" applyAlignment="1">
      <alignment horizontal="center"/>
    </xf>
    <xf numFmtId="10" fontId="2" fillId="8" borderId="12" xfId="2" applyNumberFormat="1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left" vertical="center"/>
    </xf>
    <xf numFmtId="0" fontId="3" fillId="12" borderId="71" xfId="3" applyFill="1" applyBorder="1" applyProtection="1">
      <protection hidden="1"/>
    </xf>
    <xf numFmtId="0" fontId="3" fillId="12" borderId="75" xfId="3" applyFill="1" applyBorder="1" applyAlignment="1" applyProtection="1">
      <alignment horizontal="right"/>
      <protection hidden="1"/>
    </xf>
    <xf numFmtId="166" fontId="0" fillId="13" borderId="61" xfId="1" applyNumberFormat="1" applyFont="1" applyFill="1" applyBorder="1" applyProtection="1">
      <protection locked="0"/>
    </xf>
    <xf numFmtId="166" fontId="0" fillId="13" borderId="0" xfId="0" applyNumberFormat="1" applyFill="1" applyProtection="1">
      <protection locked="0"/>
    </xf>
    <xf numFmtId="166" fontId="0" fillId="13" borderId="78" xfId="0" applyNumberFormat="1" applyFill="1" applyBorder="1" applyProtection="1">
      <protection locked="0"/>
    </xf>
    <xf numFmtId="166" fontId="0" fillId="13" borderId="63" xfId="0" applyNumberFormat="1" applyFill="1" applyBorder="1" applyProtection="1">
      <protection locked="0"/>
    </xf>
    <xf numFmtId="166" fontId="2" fillId="17" borderId="63" xfId="1" applyNumberFormat="1" applyFont="1" applyFill="1" applyBorder="1"/>
    <xf numFmtId="0" fontId="2" fillId="0" borderId="53" xfId="0" applyFont="1" applyBorder="1"/>
    <xf numFmtId="165" fontId="2" fillId="18" borderId="48" xfId="1" applyNumberFormat="1" applyFont="1" applyFill="1" applyBorder="1"/>
    <xf numFmtId="166" fontId="2" fillId="10" borderId="49" xfId="1" applyNumberFormat="1" applyFont="1" applyFill="1" applyBorder="1"/>
    <xf numFmtId="166" fontId="3" fillId="5" borderId="19" xfId="4" applyNumberFormat="1" applyFill="1" applyBorder="1" applyAlignment="1" applyProtection="1">
      <alignment horizontal="right"/>
      <protection locked="0"/>
    </xf>
    <xf numFmtId="168" fontId="3" fillId="5" borderId="19" xfId="3" applyNumberFormat="1" applyFill="1" applyBorder="1" applyAlignment="1" applyProtection="1">
      <alignment horizontal="right"/>
      <protection locked="0"/>
    </xf>
    <xf numFmtId="169" fontId="3" fillId="5" borderId="19" xfId="2" applyNumberFormat="1" applyFont="1" applyFill="1" applyBorder="1" applyAlignment="1" applyProtection="1">
      <alignment horizontal="right"/>
      <protection locked="0"/>
    </xf>
    <xf numFmtId="1" fontId="3" fillId="5" borderId="19" xfId="3" applyNumberFormat="1" applyFill="1" applyBorder="1" applyAlignment="1" applyProtection="1">
      <alignment horizontal="right"/>
      <protection locked="0"/>
    </xf>
    <xf numFmtId="14" fontId="3" fillId="5" borderId="19" xfId="3" applyNumberFormat="1" applyFill="1" applyBorder="1" applyAlignment="1" applyProtection="1">
      <alignment horizontal="right"/>
      <protection locked="0"/>
    </xf>
    <xf numFmtId="42" fontId="5" fillId="5" borderId="19" xfId="4" applyNumberFormat="1" applyFont="1" applyFill="1" applyBorder="1" applyAlignment="1" applyProtection="1">
      <alignment horizontal="right"/>
      <protection locked="0"/>
    </xf>
    <xf numFmtId="0" fontId="3" fillId="5" borderId="77" xfId="3" applyFill="1" applyBorder="1" applyAlignment="1" applyProtection="1">
      <alignment horizontal="right"/>
      <protection locked="0"/>
    </xf>
    <xf numFmtId="0" fontId="3" fillId="5" borderId="76" xfId="3" applyFill="1" applyBorder="1" applyAlignment="1" applyProtection="1">
      <alignment horizontal="right"/>
      <protection locked="0"/>
    </xf>
    <xf numFmtId="42" fontId="3" fillId="5" borderId="73" xfId="3" applyNumberFormat="1" applyFill="1" applyBorder="1" applyProtection="1">
      <protection locked="0"/>
    </xf>
    <xf numFmtId="0" fontId="3" fillId="5" borderId="26" xfId="3" applyFill="1" applyBorder="1" applyProtection="1">
      <protection locked="0"/>
    </xf>
    <xf numFmtId="166" fontId="0" fillId="0" borderId="51" xfId="1" applyNumberFormat="1" applyFont="1" applyFill="1" applyBorder="1" applyProtection="1">
      <protection locked="0"/>
    </xf>
    <xf numFmtId="166" fontId="0" fillId="5" borderId="38" xfId="1" applyNumberFormat="1" applyFont="1" applyFill="1" applyBorder="1" applyProtection="1">
      <protection locked="0"/>
    </xf>
    <xf numFmtId="166" fontId="0" fillId="5" borderId="52" xfId="1" applyNumberFormat="1" applyFont="1" applyFill="1" applyBorder="1" applyProtection="1">
      <protection locked="0"/>
    </xf>
    <xf numFmtId="166" fontId="0" fillId="0" borderId="41" xfId="1" applyNumberFormat="1" applyFont="1" applyFill="1" applyBorder="1" applyProtection="1">
      <protection locked="0"/>
    </xf>
    <xf numFmtId="166" fontId="0" fillId="5" borderId="37" xfId="1" applyNumberFormat="1" applyFont="1" applyFill="1" applyBorder="1" applyProtection="1">
      <protection locked="0"/>
    </xf>
    <xf numFmtId="166" fontId="0" fillId="5" borderId="42" xfId="1" applyNumberFormat="1" applyFont="1" applyFill="1" applyBorder="1" applyProtection="1">
      <protection locked="0"/>
    </xf>
    <xf numFmtId="166" fontId="0" fillId="0" borderId="57" xfId="1" applyNumberFormat="1" applyFont="1" applyFill="1" applyBorder="1" applyProtection="1">
      <protection locked="0"/>
    </xf>
    <xf numFmtId="166" fontId="0" fillId="5" borderId="58" xfId="1" applyNumberFormat="1" applyFont="1" applyFill="1" applyBorder="1" applyProtection="1">
      <protection locked="0"/>
    </xf>
    <xf numFmtId="166" fontId="0" fillId="5" borderId="59" xfId="1" applyNumberFormat="1" applyFont="1" applyFill="1" applyBorder="1" applyProtection="1">
      <protection locked="0"/>
    </xf>
    <xf numFmtId="166" fontId="0" fillId="0" borderId="51" xfId="0" applyNumberFormat="1" applyBorder="1" applyProtection="1">
      <protection locked="0"/>
    </xf>
    <xf numFmtId="0" fontId="7" fillId="12" borderId="17" xfId="6" applyFill="1" applyBorder="1" applyAlignment="1" applyProtection="1">
      <alignment horizontal="right"/>
      <protection locked="0" hidden="1"/>
    </xf>
    <xf numFmtId="0" fontId="7" fillId="2" borderId="0" xfId="6" applyFill="1" applyAlignment="1" applyProtection="1">
      <alignment horizontal="right"/>
      <protection locked="0" hidden="1"/>
    </xf>
    <xf numFmtId="9" fontId="0" fillId="8" borderId="13" xfId="2" applyFont="1" applyFill="1" applyBorder="1" applyAlignment="1">
      <alignment horizontal="right" vertical="center"/>
    </xf>
    <xf numFmtId="0" fontId="4" fillId="0" borderId="0" xfId="3" applyFont="1" applyProtection="1">
      <protection hidden="1"/>
    </xf>
    <xf numFmtId="166" fontId="3" fillId="0" borderId="0" xfId="1" applyNumberFormat="1" applyFont="1" applyProtection="1">
      <protection hidden="1"/>
    </xf>
    <xf numFmtId="0" fontId="3" fillId="8" borderId="14" xfId="3" applyFill="1" applyBorder="1" applyAlignment="1" applyProtection="1">
      <alignment horizontal="center" vertical="center"/>
      <protection hidden="1"/>
    </xf>
    <xf numFmtId="10" fontId="3" fillId="0" borderId="0" xfId="3" applyNumberFormat="1" applyProtection="1">
      <protection hidden="1"/>
    </xf>
    <xf numFmtId="0" fontId="3" fillId="20" borderId="0" xfId="3" applyFill="1" applyProtection="1">
      <protection hidden="1"/>
    </xf>
    <xf numFmtId="0" fontId="7" fillId="2" borderId="6" xfId="6" applyFill="1" applyBorder="1" applyAlignment="1" applyProtection="1">
      <alignment horizontal="left"/>
      <protection hidden="1"/>
    </xf>
    <xf numFmtId="0" fontId="0" fillId="12" borderId="0" xfId="0" applyFill="1" applyProtection="1">
      <protection hidden="1"/>
    </xf>
    <xf numFmtId="0" fontId="0" fillId="9" borderId="0" xfId="0" applyFill="1" applyProtection="1">
      <protection locked="0" hidden="1"/>
    </xf>
    <xf numFmtId="0" fontId="0" fillId="9" borderId="0" xfId="0" applyFill="1" applyProtection="1">
      <protection hidden="1"/>
    </xf>
    <xf numFmtId="0" fontId="14" fillId="9" borderId="0" xfId="0" applyFont="1" applyFill="1" applyProtection="1">
      <protection hidden="1"/>
    </xf>
    <xf numFmtId="0" fontId="1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2" borderId="79" xfId="0" applyFill="1" applyBorder="1" applyProtection="1">
      <protection hidden="1"/>
    </xf>
    <xf numFmtId="0" fontId="0" fillId="2" borderId="80" xfId="0" applyFill="1" applyBorder="1" applyProtection="1">
      <protection hidden="1"/>
    </xf>
    <xf numFmtId="0" fontId="14" fillId="2" borderId="80" xfId="0" applyFont="1" applyFill="1" applyBorder="1" applyProtection="1">
      <protection hidden="1"/>
    </xf>
    <xf numFmtId="0" fontId="0" fillId="2" borderId="81" xfId="0" applyFill="1" applyBorder="1" applyProtection="1">
      <protection hidden="1"/>
    </xf>
    <xf numFmtId="0" fontId="0" fillId="2" borderId="82" xfId="0" applyFill="1" applyBorder="1" applyProtection="1"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0" fillId="2" borderId="83" xfId="0" applyFill="1" applyBorder="1" applyProtection="1">
      <protection hidden="1"/>
    </xf>
    <xf numFmtId="14" fontId="17" fillId="2" borderId="0" xfId="0" quotePrefix="1" applyNumberFormat="1" applyFont="1" applyFill="1" applyAlignment="1" applyProtection="1">
      <alignment horizontal="right"/>
      <protection hidden="1"/>
    </xf>
    <xf numFmtId="0" fontId="18" fillId="2" borderId="0" xfId="0" applyFont="1" applyFill="1" applyProtection="1">
      <protection hidden="1"/>
    </xf>
    <xf numFmtId="0" fontId="0" fillId="12" borderId="82" xfId="0" applyFill="1" applyBorder="1" applyProtection="1">
      <protection hidden="1"/>
    </xf>
    <xf numFmtId="14" fontId="13" fillId="12" borderId="0" xfId="6" quotePrefix="1" applyNumberFormat="1" applyFont="1" applyFill="1" applyBorder="1" applyAlignment="1" applyProtection="1">
      <alignment horizontal="center"/>
      <protection locked="0" hidden="1"/>
    </xf>
    <xf numFmtId="0" fontId="18" fillId="12" borderId="0" xfId="0" applyFont="1" applyFill="1" applyProtection="1">
      <protection hidden="1"/>
    </xf>
    <xf numFmtId="0" fontId="0" fillId="12" borderId="83" xfId="0" applyFill="1" applyBorder="1" applyProtection="1">
      <protection hidden="1"/>
    </xf>
    <xf numFmtId="171" fontId="0" fillId="2" borderId="0" xfId="0" applyNumberFormat="1" applyFill="1" applyProtection="1">
      <protection hidden="1"/>
    </xf>
    <xf numFmtId="0" fontId="19" fillId="2" borderId="0" xfId="0" applyFont="1" applyFill="1" applyAlignment="1" applyProtection="1">
      <alignment horizontal="left" vertical="center"/>
      <protection hidden="1"/>
    </xf>
    <xf numFmtId="0" fontId="19" fillId="2" borderId="0" xfId="0" applyFont="1" applyFill="1" applyAlignment="1" applyProtection="1">
      <alignment horizontal="left"/>
      <protection hidden="1"/>
    </xf>
    <xf numFmtId="0" fontId="20" fillId="2" borderId="0" xfId="0" applyFont="1" applyFill="1" applyProtection="1">
      <protection hidden="1"/>
    </xf>
    <xf numFmtId="0" fontId="21" fillId="12" borderId="93" xfId="0" applyFont="1" applyFill="1" applyBorder="1" applyAlignment="1" applyProtection="1">
      <alignment horizontal="left" vertical="center" indent="1"/>
      <protection hidden="1"/>
    </xf>
    <xf numFmtId="0" fontId="22" fillId="2" borderId="94" xfId="0" applyFont="1" applyFill="1" applyBorder="1" applyAlignment="1" applyProtection="1">
      <alignment horizontal="center"/>
      <protection hidden="1"/>
    </xf>
    <xf numFmtId="0" fontId="22" fillId="2" borderId="95" xfId="0" applyFont="1" applyFill="1" applyBorder="1" applyAlignment="1" applyProtection="1">
      <alignment horizontal="center"/>
      <protection hidden="1"/>
    </xf>
    <xf numFmtId="165" fontId="17" fillId="0" borderId="96" xfId="1" applyNumberFormat="1" applyFont="1" applyFill="1" applyBorder="1" applyAlignment="1" applyProtection="1">
      <alignment horizontal="right" vertical="center"/>
      <protection hidden="1"/>
    </xf>
    <xf numFmtId="0" fontId="21" fillId="12" borderId="97" xfId="0" applyFont="1" applyFill="1" applyBorder="1" applyAlignment="1" applyProtection="1">
      <alignment horizontal="left" vertical="center" wrapText="1" indent="1"/>
      <protection hidden="1"/>
    </xf>
    <xf numFmtId="0" fontId="17" fillId="2" borderId="98" xfId="0" applyFont="1" applyFill="1" applyBorder="1" applyAlignment="1" applyProtection="1">
      <alignment horizontal="right"/>
      <protection hidden="1"/>
    </xf>
    <xf numFmtId="170" fontId="17" fillId="2" borderId="99" xfId="2" applyNumberFormat="1" applyFont="1" applyFill="1" applyBorder="1" applyAlignment="1" applyProtection="1">
      <alignment horizontal="right"/>
      <protection hidden="1"/>
    </xf>
    <xf numFmtId="10" fontId="17" fillId="0" borderId="100" xfId="2" applyNumberFormat="1" applyFont="1" applyFill="1" applyBorder="1" applyAlignment="1" applyProtection="1">
      <alignment horizontal="right" vertical="center"/>
      <protection hidden="1"/>
    </xf>
    <xf numFmtId="0" fontId="0" fillId="2" borderId="84" xfId="0" applyFill="1" applyBorder="1" applyProtection="1">
      <protection hidden="1"/>
    </xf>
    <xf numFmtId="0" fontId="0" fillId="9" borderId="84" xfId="0" applyFill="1" applyBorder="1" applyProtection="1">
      <protection hidden="1"/>
    </xf>
    <xf numFmtId="0" fontId="12" fillId="9" borderId="84" xfId="0" applyFont="1" applyFill="1" applyBorder="1" applyProtection="1">
      <protection hidden="1"/>
    </xf>
    <xf numFmtId="0" fontId="21" fillId="2" borderId="101" xfId="0" applyFont="1" applyFill="1" applyBorder="1" applyAlignment="1" applyProtection="1">
      <alignment horizontal="left" vertical="center" indent="1"/>
      <protection hidden="1"/>
    </xf>
    <xf numFmtId="0" fontId="24" fillId="2" borderId="102" xfId="0" applyFont="1" applyFill="1" applyBorder="1" applyProtection="1">
      <protection hidden="1"/>
    </xf>
    <xf numFmtId="0" fontId="24" fillId="2" borderId="103" xfId="0" applyFont="1" applyFill="1" applyBorder="1" applyProtection="1">
      <protection hidden="1"/>
    </xf>
    <xf numFmtId="165" fontId="17" fillId="0" borderId="104" xfId="1" applyNumberFormat="1" applyFont="1" applyFill="1" applyBorder="1" applyAlignment="1" applyProtection="1">
      <alignment horizontal="right" vertical="center"/>
      <protection hidden="1"/>
    </xf>
    <xf numFmtId="0" fontId="17" fillId="2" borderId="93" xfId="0" applyFont="1" applyFill="1" applyBorder="1" applyAlignment="1" applyProtection="1">
      <alignment horizontal="center" vertical="center"/>
      <protection hidden="1"/>
    </xf>
    <xf numFmtId="165" fontId="17" fillId="2" borderId="96" xfId="0" applyNumberFormat="1" applyFont="1" applyFill="1" applyBorder="1" applyAlignment="1" applyProtection="1">
      <alignment horizontal="center" vertical="center"/>
      <protection hidden="1"/>
    </xf>
    <xf numFmtId="0" fontId="21" fillId="2" borderId="97" xfId="0" applyFont="1" applyFill="1" applyBorder="1" applyAlignment="1" applyProtection="1">
      <alignment horizontal="left" vertical="center" wrapText="1" indent="1"/>
      <protection hidden="1"/>
    </xf>
    <xf numFmtId="0" fontId="25" fillId="2" borderId="98" xfId="0" applyFont="1" applyFill="1" applyBorder="1" applyAlignment="1" applyProtection="1">
      <alignment horizontal="center"/>
      <protection hidden="1"/>
    </xf>
    <xf numFmtId="0" fontId="26" fillId="2" borderId="99" xfId="0" applyFont="1" applyFill="1" applyBorder="1" applyAlignment="1" applyProtection="1">
      <alignment horizontal="center"/>
      <protection hidden="1"/>
    </xf>
    <xf numFmtId="169" fontId="17" fillId="0" borderId="100" xfId="0" applyNumberFormat="1" applyFont="1" applyBorder="1" applyAlignment="1" applyProtection="1">
      <alignment vertical="center"/>
      <protection hidden="1"/>
    </xf>
    <xf numFmtId="0" fontId="0" fillId="2" borderId="92" xfId="0" applyFill="1" applyBorder="1" applyProtection="1">
      <protection hidden="1"/>
    </xf>
    <xf numFmtId="0" fontId="17" fillId="2" borderId="97" xfId="0" applyFont="1" applyFill="1" applyBorder="1" applyAlignment="1" applyProtection="1">
      <alignment horizontal="center" vertical="center"/>
      <protection hidden="1"/>
    </xf>
    <xf numFmtId="165" fontId="17" fillId="2" borderId="98" xfId="0" applyNumberFormat="1" applyFont="1" applyFill="1" applyBorder="1" applyAlignment="1" applyProtection="1">
      <alignment horizontal="center" vertical="center"/>
      <protection hidden="1"/>
    </xf>
    <xf numFmtId="165" fontId="17" fillId="2" borderId="100" xfId="0" applyNumberFormat="1" applyFont="1" applyFill="1" applyBorder="1" applyAlignment="1" applyProtection="1">
      <alignment horizontal="center" vertical="center"/>
      <protection hidden="1"/>
    </xf>
    <xf numFmtId="0" fontId="21" fillId="2" borderId="97" xfId="0" applyFont="1" applyFill="1" applyBorder="1" applyAlignment="1" applyProtection="1">
      <alignment horizontal="left" vertical="center" indent="1"/>
      <protection hidden="1"/>
    </xf>
    <xf numFmtId="0" fontId="24" fillId="2" borderId="98" xfId="0" applyFont="1" applyFill="1" applyBorder="1" applyProtection="1">
      <protection hidden="1"/>
    </xf>
    <xf numFmtId="0" fontId="24" fillId="2" borderId="99" xfId="0" applyFont="1" applyFill="1" applyBorder="1" applyProtection="1">
      <protection hidden="1"/>
    </xf>
    <xf numFmtId="1" fontId="17" fillId="0" borderId="100" xfId="0" applyNumberFormat="1" applyFont="1" applyBorder="1" applyAlignment="1" applyProtection="1">
      <alignment vertical="center"/>
      <protection hidden="1"/>
    </xf>
    <xf numFmtId="0" fontId="0" fillId="2" borderId="98" xfId="0" applyFill="1" applyBorder="1" applyProtection="1">
      <protection hidden="1"/>
    </xf>
    <xf numFmtId="0" fontId="0" fillId="2" borderId="99" xfId="0" applyFill="1" applyBorder="1" applyProtection="1">
      <protection hidden="1"/>
    </xf>
    <xf numFmtId="0" fontId="17" fillId="21" borderId="100" xfId="2" applyNumberFormat="1" applyFont="1" applyFill="1" applyBorder="1" applyAlignment="1" applyProtection="1">
      <alignment horizontal="right" vertical="center"/>
      <protection locked="0" hidden="1"/>
    </xf>
    <xf numFmtId="0" fontId="17" fillId="2" borderId="88" xfId="0" applyFont="1" applyFill="1" applyBorder="1" applyAlignment="1" applyProtection="1">
      <alignment horizontal="center" vertical="center"/>
      <protection hidden="1"/>
    </xf>
    <xf numFmtId="165" fontId="17" fillId="2" borderId="89" xfId="0" applyNumberFormat="1" applyFont="1" applyFill="1" applyBorder="1" applyAlignment="1" applyProtection="1">
      <alignment horizontal="center" vertical="center"/>
      <protection hidden="1"/>
    </xf>
    <xf numFmtId="165" fontId="17" fillId="2" borderId="90" xfId="0" applyNumberFormat="1" applyFont="1" applyFill="1" applyBorder="1" applyAlignment="1" applyProtection="1">
      <alignment horizontal="center" vertical="center"/>
      <protection hidden="1"/>
    </xf>
    <xf numFmtId="0" fontId="21" fillId="12" borderId="97" xfId="0" applyFont="1" applyFill="1" applyBorder="1" applyAlignment="1" applyProtection="1">
      <alignment horizontal="left" vertical="center" indent="1"/>
      <protection hidden="1"/>
    </xf>
    <xf numFmtId="0" fontId="26" fillId="2" borderId="98" xfId="0" applyFont="1" applyFill="1" applyBorder="1" applyAlignment="1" applyProtection="1">
      <alignment horizontal="center"/>
      <protection hidden="1"/>
    </xf>
    <xf numFmtId="9" fontId="27" fillId="0" borderId="100" xfId="2" applyFont="1" applyBorder="1"/>
    <xf numFmtId="0" fontId="19" fillId="2" borderId="86" xfId="0" applyFont="1" applyFill="1" applyBorder="1" applyAlignment="1" applyProtection="1">
      <alignment horizontal="left" vertic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28" fillId="2" borderId="0" xfId="0" applyFont="1" applyFill="1" applyAlignment="1" applyProtection="1">
      <alignment horizontal="center" vertical="center"/>
      <protection hidden="1"/>
    </xf>
    <xf numFmtId="0" fontId="21" fillId="12" borderId="88" xfId="0" applyFont="1" applyFill="1" applyBorder="1" applyAlignment="1" applyProtection="1">
      <alignment horizontal="left" vertical="center" indent="1"/>
      <protection hidden="1"/>
    </xf>
    <xf numFmtId="0" fontId="17" fillId="12" borderId="89" xfId="0" applyFont="1" applyFill="1" applyBorder="1" applyAlignment="1" applyProtection="1">
      <alignment vertical="center"/>
      <protection hidden="1"/>
    </xf>
    <xf numFmtId="0" fontId="17" fillId="12" borderId="105" xfId="0" applyFont="1" applyFill="1" applyBorder="1" applyAlignment="1" applyProtection="1">
      <alignment vertical="center"/>
      <protection hidden="1"/>
    </xf>
    <xf numFmtId="165" fontId="29" fillId="12" borderId="90" xfId="1" applyNumberFormat="1" applyFont="1" applyFill="1" applyBorder="1" applyAlignment="1" applyProtection="1">
      <alignment horizontal="right" vertic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25" fillId="2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21" fillId="12" borderId="0" xfId="0" applyFont="1" applyFill="1" applyAlignment="1" applyProtection="1">
      <alignment vertical="center"/>
      <protection hidden="1"/>
    </xf>
    <xf numFmtId="0" fontId="17" fillId="12" borderId="0" xfId="0" applyFont="1" applyFill="1" applyAlignment="1" applyProtection="1">
      <alignment vertical="center"/>
      <protection hidden="1"/>
    </xf>
    <xf numFmtId="44" fontId="29" fillId="12" borderId="0" xfId="1" applyFont="1" applyFill="1" applyBorder="1" applyAlignment="1" applyProtection="1">
      <alignment horizontal="right" vertical="center"/>
      <protection hidden="1"/>
    </xf>
    <xf numFmtId="0" fontId="30" fillId="2" borderId="79" xfId="0" applyFont="1" applyFill="1" applyBorder="1" applyAlignment="1" applyProtection="1">
      <alignment horizontal="left" vertical="center" indent="1"/>
      <protection hidden="1"/>
    </xf>
    <xf numFmtId="0" fontId="0" fillId="2" borderId="80" xfId="0" applyFill="1" applyBorder="1" applyAlignment="1" applyProtection="1">
      <alignment vertical="center"/>
      <protection hidden="1"/>
    </xf>
    <xf numFmtId="165" fontId="18" fillId="2" borderId="80" xfId="1" applyNumberFormat="1" applyFont="1" applyFill="1" applyBorder="1" applyAlignment="1" applyProtection="1">
      <alignment vertical="center"/>
      <protection hidden="1"/>
    </xf>
    <xf numFmtId="0" fontId="30" fillId="2" borderId="88" xfId="0" applyFont="1" applyFill="1" applyBorder="1" applyAlignment="1" applyProtection="1">
      <alignment horizontal="left" vertical="center" indent="1"/>
      <protection hidden="1"/>
    </xf>
    <xf numFmtId="0" fontId="30" fillId="2" borderId="89" xfId="0" applyFont="1" applyFill="1" applyBorder="1" applyAlignment="1" applyProtection="1">
      <alignment vertical="center"/>
      <protection hidden="1"/>
    </xf>
    <xf numFmtId="0" fontId="0" fillId="2" borderId="89" xfId="0" applyFill="1" applyBorder="1" applyProtection="1">
      <protection hidden="1"/>
    </xf>
    <xf numFmtId="0" fontId="30" fillId="2" borderId="89" xfId="0" applyFont="1" applyFill="1" applyBorder="1" applyAlignment="1" applyProtection="1">
      <alignment horizontal="right" vertical="center"/>
      <protection hidden="1"/>
    </xf>
    <xf numFmtId="0" fontId="0" fillId="2" borderId="88" xfId="0" applyFill="1" applyBorder="1" applyProtection="1">
      <protection hidden="1"/>
    </xf>
    <xf numFmtId="0" fontId="28" fillId="2" borderId="89" xfId="0" applyFont="1" applyFill="1" applyBorder="1" applyAlignment="1" applyProtection="1">
      <alignment horizontal="center"/>
      <protection hidden="1"/>
    </xf>
    <xf numFmtId="0" fontId="0" fillId="2" borderId="89" xfId="0" applyFill="1" applyBorder="1" applyAlignment="1" applyProtection="1">
      <alignment horizontal="center"/>
      <protection hidden="1"/>
    </xf>
    <xf numFmtId="0" fontId="3" fillId="0" borderId="89" xfId="0" applyFont="1" applyBorder="1" applyAlignment="1" applyProtection="1">
      <alignment horizontal="left" indent="1"/>
      <protection hidden="1"/>
    </xf>
    <xf numFmtId="0" fontId="0" fillId="2" borderId="90" xfId="0" applyFill="1" applyBorder="1" applyProtection="1">
      <protection hidden="1"/>
    </xf>
    <xf numFmtId="0" fontId="31" fillId="9" borderId="0" xfId="0" applyFont="1" applyFill="1" applyAlignment="1" applyProtection="1">
      <alignment horizontal="center" wrapText="1"/>
      <protection hidden="1"/>
    </xf>
    <xf numFmtId="172" fontId="17" fillId="2" borderId="0" xfId="0" applyNumberFormat="1" applyFont="1" applyFill="1" applyAlignment="1" applyProtection="1">
      <alignment horizontal="center"/>
      <protection hidden="1"/>
    </xf>
    <xf numFmtId="7" fontId="0" fillId="2" borderId="0" xfId="0" applyNumberFormat="1" applyFill="1" applyProtection="1">
      <protection hidden="1"/>
    </xf>
    <xf numFmtId="0" fontId="0" fillId="13" borderId="0" xfId="0" applyFill="1" applyProtection="1">
      <protection hidden="1"/>
    </xf>
    <xf numFmtId="165" fontId="17" fillId="22" borderId="94" xfId="0" applyNumberFormat="1" applyFont="1" applyFill="1" applyBorder="1" applyAlignment="1" applyProtection="1">
      <alignment horizontal="center" vertical="center"/>
      <protection hidden="1"/>
    </xf>
    <xf numFmtId="165" fontId="18" fillId="23" borderId="81" xfId="1" applyNumberFormat="1" applyFont="1" applyFill="1" applyBorder="1" applyAlignment="1" applyProtection="1">
      <alignment vertical="center"/>
      <protection hidden="1"/>
    </xf>
    <xf numFmtId="169" fontId="18" fillId="23" borderId="90" xfId="0" applyNumberFormat="1" applyFont="1" applyFill="1" applyBorder="1" applyAlignment="1" applyProtection="1">
      <alignment vertical="center"/>
      <protection hidden="1"/>
    </xf>
    <xf numFmtId="165" fontId="17" fillId="8" borderId="79" xfId="0" applyNumberFormat="1" applyFont="1" applyFill="1" applyBorder="1" applyAlignment="1" applyProtection="1">
      <alignment horizontal="center" vertical="center" wrapText="1"/>
      <protection hidden="1"/>
    </xf>
    <xf numFmtId="165" fontId="17" fillId="17" borderId="96" xfId="0" applyNumberFormat="1" applyFont="1" applyFill="1" applyBorder="1" applyAlignment="1" applyProtection="1">
      <alignment horizontal="center" vertical="center" wrapText="1"/>
      <protection hidden="1"/>
    </xf>
    <xf numFmtId="165" fontId="17" fillId="0" borderId="97" xfId="0" applyNumberFormat="1" applyFont="1" applyBorder="1" applyAlignment="1" applyProtection="1">
      <alignment horizontal="center" vertical="center" wrapText="1"/>
      <protection hidden="1"/>
    </xf>
    <xf numFmtId="165" fontId="17" fillId="0" borderId="104" xfId="0" applyNumberFormat="1" applyFont="1" applyBorder="1" applyAlignment="1" applyProtection="1">
      <alignment horizontal="center" vertical="center" wrapText="1"/>
      <protection hidden="1"/>
    </xf>
    <xf numFmtId="165" fontId="17" fillId="0" borderId="100" xfId="0" applyNumberFormat="1" applyFont="1" applyBorder="1" applyAlignment="1" applyProtection="1">
      <alignment horizontal="center" vertical="center" wrapText="1"/>
      <protection hidden="1"/>
    </xf>
    <xf numFmtId="165" fontId="17" fillId="0" borderId="106" xfId="0" applyNumberFormat="1" applyFont="1" applyBorder="1" applyAlignment="1" applyProtection="1">
      <alignment horizontal="center" vertical="center" wrapText="1"/>
      <protection hidden="1"/>
    </xf>
    <xf numFmtId="165" fontId="17" fillId="0" borderId="90" xfId="0" applyNumberFormat="1" applyFont="1" applyBorder="1" applyAlignment="1" applyProtection="1">
      <alignment horizontal="center" vertical="center" wrapText="1"/>
      <protection hidden="1"/>
    </xf>
    <xf numFmtId="165" fontId="17" fillId="12" borderId="100" xfId="0" applyNumberFormat="1" applyFont="1" applyFill="1" applyBorder="1" applyAlignment="1" applyProtection="1">
      <alignment horizontal="center" vertical="center"/>
      <protection hidden="1"/>
    </xf>
    <xf numFmtId="165" fontId="17" fillId="12" borderId="90" xfId="0" applyNumberFormat="1" applyFont="1" applyFill="1" applyBorder="1" applyAlignment="1" applyProtection="1">
      <alignment horizontal="center" vertical="center"/>
      <protection hidden="1"/>
    </xf>
    <xf numFmtId="1" fontId="17" fillId="2" borderId="108" xfId="0" applyNumberFormat="1" applyFont="1" applyFill="1" applyBorder="1" applyAlignment="1" applyProtection="1">
      <alignment horizontal="center" vertical="center"/>
      <protection hidden="1"/>
    </xf>
    <xf numFmtId="1" fontId="17" fillId="2" borderId="109" xfId="0" applyNumberFormat="1" applyFont="1" applyFill="1" applyBorder="1" applyAlignment="1" applyProtection="1">
      <alignment horizontal="center" vertical="center"/>
      <protection hidden="1"/>
    </xf>
    <xf numFmtId="1" fontId="17" fillId="2" borderId="91" xfId="0" applyNumberFormat="1" applyFont="1" applyFill="1" applyBorder="1" applyAlignment="1" applyProtection="1">
      <alignment horizontal="center" vertical="center"/>
      <protection hidden="1"/>
    </xf>
    <xf numFmtId="169" fontId="17" fillId="2" borderId="108" xfId="0" applyNumberFormat="1" applyFont="1" applyFill="1" applyBorder="1" applyAlignment="1" applyProtection="1">
      <alignment horizontal="center" vertical="center"/>
      <protection hidden="1"/>
    </xf>
    <xf numFmtId="169" fontId="17" fillId="12" borderId="109" xfId="0" applyNumberFormat="1" applyFont="1" applyFill="1" applyBorder="1" applyAlignment="1" applyProtection="1">
      <alignment horizontal="center" vertical="center"/>
      <protection hidden="1"/>
    </xf>
    <xf numFmtId="169" fontId="17" fillId="12" borderId="91" xfId="0" applyNumberFormat="1" applyFont="1" applyFill="1" applyBorder="1" applyAlignment="1" applyProtection="1">
      <alignment horizontal="center" vertical="center"/>
      <protection hidden="1"/>
    </xf>
    <xf numFmtId="0" fontId="4" fillId="16" borderId="66" xfId="3" applyFont="1" applyFill="1" applyBorder="1" applyAlignment="1" applyProtection="1">
      <alignment horizontal="center" wrapText="1"/>
      <protection hidden="1"/>
    </xf>
    <xf numFmtId="0" fontId="4" fillId="16" borderId="0" xfId="3" applyFont="1" applyFill="1" applyAlignment="1" applyProtection="1">
      <alignment horizontal="center" wrapText="1"/>
      <protection hidden="1"/>
    </xf>
    <xf numFmtId="0" fontId="4" fillId="16" borderId="62" xfId="3" applyFont="1" applyFill="1" applyBorder="1" applyAlignment="1" applyProtection="1">
      <alignment horizontal="center" wrapText="1"/>
      <protection hidden="1"/>
    </xf>
    <xf numFmtId="0" fontId="4" fillId="15" borderId="48" xfId="3" applyFont="1" applyFill="1" applyBorder="1" applyAlignment="1" applyProtection="1">
      <alignment horizontal="center" vertical="center" wrapText="1"/>
      <protection hidden="1"/>
    </xf>
    <xf numFmtId="0" fontId="4" fillId="15" borderId="49" xfId="3" applyFont="1" applyFill="1" applyBorder="1" applyAlignment="1" applyProtection="1">
      <alignment horizontal="center" vertical="center" wrapText="1"/>
      <protection hidden="1"/>
    </xf>
    <xf numFmtId="0" fontId="4" fillId="15" borderId="50" xfId="3" applyFont="1" applyFill="1" applyBorder="1" applyAlignment="1" applyProtection="1">
      <alignment horizontal="center" vertical="center" wrapText="1"/>
      <protection hidden="1"/>
    </xf>
    <xf numFmtId="0" fontId="8" fillId="2" borderId="0" xfId="6" applyFont="1" applyFill="1" applyAlignment="1" applyProtection="1">
      <alignment horizontal="center" vertical="center"/>
      <protection hidden="1"/>
    </xf>
    <xf numFmtId="0" fontId="9" fillId="2" borderId="0" xfId="3" applyFont="1" applyFill="1" applyAlignment="1" applyProtection="1">
      <alignment horizontal="center" vertical="center"/>
      <protection hidden="1"/>
    </xf>
    <xf numFmtId="0" fontId="9" fillId="2" borderId="1" xfId="3" applyFont="1" applyFill="1" applyBorder="1" applyAlignment="1" applyProtection="1">
      <alignment horizontal="center" vertical="center"/>
      <protection hidden="1"/>
    </xf>
    <xf numFmtId="0" fontId="4" fillId="15" borderId="3" xfId="3" applyFont="1" applyFill="1" applyBorder="1" applyAlignment="1" applyProtection="1">
      <alignment horizontal="center"/>
      <protection hidden="1"/>
    </xf>
    <xf numFmtId="0" fontId="4" fillId="15" borderId="4" xfId="3" applyFont="1" applyFill="1" applyBorder="1" applyAlignment="1" applyProtection="1">
      <alignment horizontal="center"/>
      <protection hidden="1"/>
    </xf>
    <xf numFmtId="0" fontId="4" fillId="15" borderId="5" xfId="3" applyFont="1" applyFill="1" applyBorder="1" applyAlignment="1" applyProtection="1">
      <alignment horizontal="center"/>
      <protection hidden="1"/>
    </xf>
    <xf numFmtId="0" fontId="4" fillId="2" borderId="3" xfId="3" applyFont="1" applyFill="1" applyBorder="1" applyAlignment="1" applyProtection="1">
      <alignment horizontal="center"/>
      <protection hidden="1"/>
    </xf>
    <xf numFmtId="0" fontId="4" fillId="2" borderId="4" xfId="3" applyFont="1" applyFill="1" applyBorder="1" applyAlignment="1" applyProtection="1">
      <alignment horizontal="center"/>
      <protection hidden="1"/>
    </xf>
    <xf numFmtId="0" fontId="4" fillId="2" borderId="5" xfId="3" applyFont="1" applyFill="1" applyBorder="1" applyAlignment="1" applyProtection="1">
      <alignment horizontal="center"/>
      <protection hidden="1"/>
    </xf>
    <xf numFmtId="0" fontId="4" fillId="6" borderId="30" xfId="3" applyFont="1" applyFill="1" applyBorder="1" applyAlignment="1" applyProtection="1">
      <alignment horizontal="right"/>
      <protection hidden="1"/>
    </xf>
    <xf numFmtId="0" fontId="4" fillId="6" borderId="32" xfId="3" applyFont="1" applyFill="1" applyBorder="1" applyAlignment="1" applyProtection="1">
      <alignment horizontal="right"/>
      <protection hidden="1"/>
    </xf>
    <xf numFmtId="0" fontId="11" fillId="12" borderId="0" xfId="3" applyFont="1" applyFill="1" applyAlignment="1" applyProtection="1">
      <alignment horizontal="left"/>
      <protection hidden="1"/>
    </xf>
    <xf numFmtId="0" fontId="4" fillId="15" borderId="27" xfId="3" applyFont="1" applyFill="1" applyBorder="1" applyAlignment="1" applyProtection="1">
      <alignment horizontal="center"/>
      <protection hidden="1"/>
    </xf>
    <xf numFmtId="0" fontId="4" fillId="15" borderId="28" xfId="3" applyFont="1" applyFill="1" applyBorder="1" applyAlignment="1" applyProtection="1">
      <alignment horizontal="center"/>
      <protection hidden="1"/>
    </xf>
    <xf numFmtId="0" fontId="4" fillId="15" borderId="24" xfId="3" applyFont="1" applyFill="1" applyBorder="1" applyAlignment="1" applyProtection="1">
      <alignment horizontal="center"/>
      <protection hidden="1"/>
    </xf>
    <xf numFmtId="0" fontId="4" fillId="15" borderId="29" xfId="3" applyFont="1" applyFill="1" applyBorder="1" applyAlignment="1" applyProtection="1">
      <alignment horizontal="center"/>
      <protection hidden="1"/>
    </xf>
    <xf numFmtId="0" fontId="3" fillId="12" borderId="23" xfId="3" applyFill="1" applyBorder="1" applyAlignment="1" applyProtection="1">
      <alignment horizontal="right"/>
      <protection hidden="1"/>
    </xf>
    <xf numFmtId="0" fontId="3" fillId="12" borderId="24" xfId="3" applyFill="1" applyBorder="1" applyAlignment="1" applyProtection="1">
      <alignment horizontal="right"/>
      <protection hidden="1"/>
    </xf>
    <xf numFmtId="0" fontId="7" fillId="12" borderId="25" xfId="6" applyFill="1" applyBorder="1" applyAlignment="1" applyProtection="1">
      <alignment horizontal="right"/>
      <protection locked="0" hidden="1"/>
    </xf>
    <xf numFmtId="0" fontId="7" fillId="12" borderId="20" xfId="6" applyFill="1" applyBorder="1" applyAlignment="1" applyProtection="1">
      <alignment horizontal="right"/>
      <protection locked="0" hidden="1"/>
    </xf>
    <xf numFmtId="0" fontId="3" fillId="12" borderId="25" xfId="3" applyFill="1" applyBorder="1" applyAlignment="1" applyProtection="1">
      <alignment horizontal="right"/>
      <protection hidden="1"/>
    </xf>
    <xf numFmtId="0" fontId="3" fillId="12" borderId="20" xfId="3" applyFill="1" applyBorder="1" applyAlignment="1" applyProtection="1">
      <alignment horizontal="right"/>
      <protection hidden="1"/>
    </xf>
    <xf numFmtId="0" fontId="3" fillId="12" borderId="74" xfId="3" applyFill="1" applyBorder="1" applyAlignment="1" applyProtection="1">
      <alignment horizontal="right"/>
      <protection hidden="1"/>
    </xf>
    <xf numFmtId="0" fontId="3" fillId="12" borderId="72" xfId="3" applyFill="1" applyBorder="1" applyAlignment="1" applyProtection="1">
      <alignment horizontal="right"/>
      <protection hidden="1"/>
    </xf>
    <xf numFmtId="0" fontId="7" fillId="19" borderId="0" xfId="6" applyFill="1" applyAlignment="1" applyProtection="1">
      <alignment horizontal="center" wrapText="1"/>
      <protection locked="0" hidden="1"/>
    </xf>
    <xf numFmtId="0" fontId="23" fillId="2" borderId="81" xfId="0" applyFont="1" applyFill="1" applyBorder="1" applyAlignment="1" applyProtection="1">
      <alignment horizontal="center" vertical="center" wrapText="1"/>
      <protection hidden="1"/>
    </xf>
    <xf numFmtId="0" fontId="23" fillId="2" borderId="90" xfId="0" applyFont="1" applyFill="1" applyBorder="1" applyAlignment="1" applyProtection="1">
      <alignment horizontal="center" vertical="center" wrapText="1"/>
      <protection hidden="1"/>
    </xf>
    <xf numFmtId="0" fontId="17" fillId="2" borderId="85" xfId="0" applyFont="1" applyFill="1" applyBorder="1" applyAlignment="1" applyProtection="1">
      <alignment horizontal="left" vertical="center" indent="1"/>
      <protection hidden="1"/>
    </xf>
    <xf numFmtId="0" fontId="17" fillId="2" borderId="86" xfId="0" applyFont="1" applyFill="1" applyBorder="1" applyAlignment="1" applyProtection="1">
      <alignment horizontal="left" vertical="center" indent="1"/>
      <protection hidden="1"/>
    </xf>
    <xf numFmtId="0" fontId="17" fillId="2" borderId="87" xfId="0" applyFont="1" applyFill="1" applyBorder="1" applyAlignment="1" applyProtection="1">
      <alignment horizontal="left" vertical="center" indent="1"/>
      <protection hidden="1"/>
    </xf>
    <xf numFmtId="0" fontId="20" fillId="2" borderId="0" xfId="0" applyFont="1" applyFill="1" applyAlignment="1" applyProtection="1">
      <alignment horizontal="center" wrapText="1"/>
      <protection hidden="1"/>
    </xf>
    <xf numFmtId="0" fontId="15" fillId="2" borderId="0" xfId="6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23" fillId="2" borderId="79" xfId="0" applyFont="1" applyFill="1" applyBorder="1" applyAlignment="1" applyProtection="1">
      <alignment horizontal="center" vertical="center" wrapText="1"/>
      <protection hidden="1"/>
    </xf>
    <xf numFmtId="0" fontId="23" fillId="2" borderId="88" xfId="0" applyFont="1" applyFill="1" applyBorder="1" applyAlignment="1" applyProtection="1">
      <alignment horizontal="center" vertical="center" wrapText="1"/>
      <protection hidden="1"/>
    </xf>
    <xf numFmtId="0" fontId="23" fillId="2" borderId="107" xfId="0" applyFont="1" applyFill="1" applyBorder="1" applyAlignment="1" applyProtection="1">
      <alignment horizontal="center" vertical="center" wrapText="1"/>
      <protection hidden="1"/>
    </xf>
    <xf numFmtId="0" fontId="23" fillId="2" borderId="91" xfId="0" applyFont="1" applyFill="1" applyBorder="1" applyAlignment="1" applyProtection="1">
      <alignment horizontal="center" vertical="center" wrapText="1"/>
      <protection hidden="1"/>
    </xf>
    <xf numFmtId="0" fontId="23" fillId="2" borderId="80" xfId="0" applyFont="1" applyFill="1" applyBorder="1" applyAlignment="1" applyProtection="1">
      <alignment horizontal="center" vertical="center" wrapText="1"/>
      <protection hidden="1"/>
    </xf>
    <xf numFmtId="0" fontId="23" fillId="2" borderId="89" xfId="0" applyFont="1" applyFill="1" applyBorder="1" applyAlignment="1" applyProtection="1">
      <alignment horizontal="center" vertical="center" wrapText="1"/>
      <protection hidden="1"/>
    </xf>
  </cellXfs>
  <cellStyles count="7">
    <cellStyle name="Comma" xfId="5" builtinId="3"/>
    <cellStyle name="Currency" xfId="1" builtinId="4"/>
    <cellStyle name="Currency 2" xfId="4" xr:uid="{00000000-0005-0000-0000-000001000000}"/>
    <cellStyle name="Hyperlink" xfId="6" builtinId="8"/>
    <cellStyle name="Normal" xfId="0" builtinId="0"/>
    <cellStyle name="Normal 2" xfId="3" xr:uid="{00000000-0005-0000-0000-000003000000}"/>
    <cellStyle name="Percent" xfId="2" builtinId="5"/>
  </cellStyles>
  <dxfs count="14"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ndense val="0"/>
        <extend val="0"/>
        <color auto="1"/>
      </font>
      <fill>
        <patternFill patternType="solid">
          <bgColor indexed="9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38</xdr:row>
      <xdr:rowOff>104775</xdr:rowOff>
    </xdr:from>
    <xdr:to>
      <xdr:col>19</xdr:col>
      <xdr:colOff>1057275</xdr:colOff>
      <xdr:row>38</xdr:row>
      <xdr:rowOff>104775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8CA7ABC-5DB1-4772-A4BD-43642932C93A}"/>
            </a:ext>
          </a:extLst>
        </xdr:cNvPr>
        <xdr:cNvCxnSpPr/>
      </xdr:nvCxnSpPr>
      <xdr:spPr>
        <a:xfrm flipH="1">
          <a:off x="17002125" y="7458075"/>
          <a:ext cx="97155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mortgagemark.com/loan-programs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mortgagemark.com/mortgage-resource-library/mortgage-down-payments/" TargetMode="External"/><Relationship Id="rId1" Type="http://schemas.openxmlformats.org/officeDocument/2006/relationships/hyperlink" Target="http://www.mortgagemark.com/" TargetMode="External"/><Relationship Id="rId6" Type="http://schemas.openxmlformats.org/officeDocument/2006/relationships/hyperlink" Target="https://mortgagemark.com/mortgage-resource-library/purchasing-power/" TargetMode="External"/><Relationship Id="rId5" Type="http://schemas.openxmlformats.org/officeDocument/2006/relationships/hyperlink" Target="https://mortgagemark.com/mortgage-resource-library/closing-costs/mortgage-prepaids/homeowners-insurance/" TargetMode="External"/><Relationship Id="rId4" Type="http://schemas.openxmlformats.org/officeDocument/2006/relationships/hyperlink" Target="https://mortgagemark.com/mortgage-resource-library/closing-costs/mortgage-prepaids/property-taxes-basic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mortgagemark.com/mortgage-resource-library/mortgage-glossary/2-1-buy-down/" TargetMode="External"/><Relationship Id="rId1" Type="http://schemas.openxmlformats.org/officeDocument/2006/relationships/hyperlink" Target="http://www.mortgagemar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AI432"/>
  <sheetViews>
    <sheetView showGridLines="0" tabSelected="1" zoomScaleNormal="100" workbookViewId="0">
      <selection activeCell="D6" sqref="D6"/>
    </sheetView>
  </sheetViews>
  <sheetFormatPr defaultColWidth="9.140625" defaultRowHeight="12.75" x14ac:dyDescent="0.2"/>
  <cols>
    <col min="1" max="1" width="6.7109375" style="27" customWidth="1"/>
    <col min="2" max="2" width="13.28515625" style="27" customWidth="1"/>
    <col min="3" max="3" width="15.42578125" style="27" customWidth="1"/>
    <col min="4" max="4" width="14" style="27" customWidth="1"/>
    <col min="5" max="5" width="13" style="34" customWidth="1"/>
    <col min="6" max="6" width="13.7109375" style="27" customWidth="1"/>
    <col min="7" max="7" width="15.42578125" style="27" customWidth="1"/>
    <col min="8" max="8" width="15.28515625" style="27" customWidth="1"/>
    <col min="9" max="9" width="15.42578125" style="27" customWidth="1"/>
    <col min="10" max="10" width="9.140625" style="44"/>
    <col min="11" max="12" width="14.140625" style="1" customWidth="1"/>
    <col min="13" max="13" width="9.140625" style="44" customWidth="1"/>
    <col min="14" max="14" width="1.5703125" style="1" customWidth="1"/>
    <col min="15" max="15" width="14.7109375" style="1" customWidth="1"/>
    <col min="16" max="16" width="37.7109375" style="1" customWidth="1"/>
    <col min="17" max="18" width="14.7109375" style="1" customWidth="1"/>
    <col min="19" max="19" width="1.42578125" style="1" customWidth="1"/>
    <col min="20" max="20" width="12.7109375" style="44" customWidth="1"/>
    <col min="21" max="21" width="14.7109375" style="44" customWidth="1"/>
    <col min="22" max="22" width="34.85546875" style="44" customWidth="1"/>
    <col min="23" max="24" width="14.7109375" style="44" customWidth="1"/>
    <col min="25" max="28" width="9.140625" style="44"/>
    <col min="29" max="38" width="10.7109375" style="1" customWidth="1"/>
    <col min="39" max="16384" width="9.140625" style="1"/>
  </cols>
  <sheetData>
    <row r="1" spans="1:33" ht="34.9" customHeight="1" x14ac:dyDescent="0.25">
      <c r="A1" s="276" t="s">
        <v>0</v>
      </c>
      <c r="B1" s="277"/>
      <c r="C1" s="277"/>
      <c r="D1" s="277"/>
      <c r="E1" s="277"/>
      <c r="F1" s="277"/>
      <c r="G1" s="277"/>
      <c r="H1" s="277"/>
      <c r="I1" s="277"/>
      <c r="K1" s="300" t="s">
        <v>1</v>
      </c>
      <c r="L1" s="300"/>
      <c r="N1" s="44"/>
      <c r="O1" s="44"/>
      <c r="P1" s="44"/>
      <c r="Q1" s="44"/>
      <c r="R1" s="44"/>
      <c r="S1" s="44"/>
    </row>
    <row r="2" spans="1:33" ht="12.6" customHeight="1" thickBot="1" x14ac:dyDescent="0.25">
      <c r="A2" s="278"/>
      <c r="B2" s="278"/>
      <c r="C2" s="278"/>
      <c r="D2" s="278"/>
      <c r="E2" s="278"/>
      <c r="F2" s="278"/>
      <c r="G2" s="278"/>
      <c r="H2" s="278"/>
      <c r="I2" s="278"/>
      <c r="K2" s="44"/>
      <c r="L2" s="44"/>
      <c r="N2" s="44"/>
      <c r="O2" s="44"/>
      <c r="P2" s="44"/>
      <c r="Q2" s="44"/>
      <c r="R2" s="44"/>
      <c r="S2" s="44"/>
    </row>
    <row r="3" spans="1:33" ht="3" customHeight="1" thickTop="1" x14ac:dyDescent="0.2">
      <c r="A3" s="2"/>
      <c r="B3" s="2"/>
      <c r="C3" s="2"/>
      <c r="D3" s="2"/>
      <c r="E3" s="29"/>
      <c r="F3" s="2"/>
      <c r="G3" s="2"/>
      <c r="H3" s="2"/>
      <c r="I3" s="2"/>
      <c r="K3" s="2"/>
      <c r="L3" s="2"/>
      <c r="N3" s="44"/>
      <c r="O3" s="44"/>
      <c r="P3" s="2"/>
      <c r="Q3" s="2"/>
      <c r="R3" s="44"/>
      <c r="S3" s="44"/>
    </row>
    <row r="4" spans="1:33" ht="12" customHeight="1" x14ac:dyDescent="0.2">
      <c r="A4" s="3"/>
      <c r="B4" s="3"/>
      <c r="C4" s="3"/>
      <c r="D4" s="3"/>
      <c r="E4" s="30"/>
      <c r="F4" s="3"/>
      <c r="G4" s="3"/>
      <c r="H4" s="3"/>
      <c r="I4" s="3"/>
      <c r="K4" s="44"/>
      <c r="L4" s="44"/>
      <c r="N4" s="44"/>
      <c r="O4" s="44"/>
      <c r="P4" s="44"/>
      <c r="Q4" s="44"/>
      <c r="R4" s="44"/>
      <c r="S4" s="44"/>
      <c r="AE4" s="1" t="s">
        <v>2</v>
      </c>
    </row>
    <row r="5" spans="1:33" ht="14.25" customHeight="1" x14ac:dyDescent="0.2">
      <c r="A5" s="3"/>
      <c r="B5" s="279" t="s">
        <v>3</v>
      </c>
      <c r="C5" s="280"/>
      <c r="D5" s="281"/>
      <c r="E5" s="31"/>
      <c r="F5" s="288" t="s">
        <v>3</v>
      </c>
      <c r="G5" s="289"/>
      <c r="H5" s="290"/>
      <c r="K5" s="288" t="s">
        <v>4</v>
      </c>
      <c r="L5" s="291"/>
      <c r="M5" s="62"/>
      <c r="N5" s="44"/>
      <c r="O5" s="44"/>
      <c r="P5" s="80" t="s">
        <v>5</v>
      </c>
      <c r="Q5" s="81"/>
      <c r="R5" s="44"/>
      <c r="S5" s="44"/>
      <c r="AE5" s="1" t="s">
        <v>6</v>
      </c>
    </row>
    <row r="6" spans="1:33" x14ac:dyDescent="0.2">
      <c r="A6" s="4"/>
      <c r="B6" s="5"/>
      <c r="C6" s="6" t="s">
        <v>7</v>
      </c>
      <c r="D6" s="133">
        <v>450000</v>
      </c>
      <c r="E6" s="55"/>
      <c r="F6" s="57"/>
      <c r="G6" s="124" t="s">
        <v>8</v>
      </c>
      <c r="H6" s="139" t="s">
        <v>2</v>
      </c>
      <c r="I6" s="58" t="s">
        <v>9</v>
      </c>
      <c r="K6" s="61" t="s">
        <v>10</v>
      </c>
      <c r="L6" s="142">
        <v>2</v>
      </c>
      <c r="N6" s="44"/>
      <c r="O6" s="123"/>
      <c r="P6" s="43" t="s">
        <v>11</v>
      </c>
      <c r="Q6" s="48">
        <f>D20</f>
        <v>2375.8148277293635</v>
      </c>
      <c r="R6" s="44"/>
      <c r="S6" s="44"/>
      <c r="AE6" s="1" t="s">
        <v>12</v>
      </c>
    </row>
    <row r="7" spans="1:33" ht="15" x14ac:dyDescent="0.25">
      <c r="A7" s="4"/>
      <c r="B7" s="5"/>
      <c r="C7" s="154" t="s">
        <v>13</v>
      </c>
      <c r="D7" s="134">
        <v>0.2</v>
      </c>
      <c r="E7" s="31"/>
      <c r="F7" s="56"/>
      <c r="G7" s="153" t="s">
        <v>14</v>
      </c>
      <c r="H7" s="140" t="s">
        <v>15</v>
      </c>
      <c r="I7" s="47"/>
      <c r="K7" s="62" t="s">
        <v>16</v>
      </c>
      <c r="L7" s="64">
        <f>IF(H6="Homestead",L6*0.01*(D6*0.8),L6*0.01*D6)</f>
        <v>7200</v>
      </c>
      <c r="N7" s="44"/>
      <c r="O7" s="123"/>
      <c r="P7" s="43" t="s">
        <v>17</v>
      </c>
      <c r="Q7" s="49">
        <f>IF(values_entered,Loan_Years*Num_Pmt_Per_Year,"")</f>
        <v>360</v>
      </c>
      <c r="R7" s="44"/>
      <c r="S7" s="44"/>
    </row>
    <row r="8" spans="1:33" ht="15" x14ac:dyDescent="0.25">
      <c r="A8" s="4"/>
      <c r="B8" s="161"/>
      <c r="C8" s="154" t="str">
        <f>IF(Program=AE25,"",IF(Program=AE26,"FHA's Up Front MIP: "&amp;ROUND(AF24*100,2)&amp;"%",IF(Program=AE27,"VA's Funding Fee: "&amp;ROUND(AF24*100,2)&amp;"%",IF(Program=AE28,"USDA's UpFront MIP",""))))</f>
        <v>FHA's Up Front MIP: 1.75%</v>
      </c>
      <c r="D8" s="70">
        <f>IF(UFMIP=0,"",(PurchasePrice-(PurchasePrice*DownPayment))*UFMIP)</f>
        <v>6300.0000000000009</v>
      </c>
      <c r="E8" s="31"/>
      <c r="G8" s="50" t="str">
        <f>IF(Program="VA","Have you used your VA before?","")</f>
        <v/>
      </c>
      <c r="H8" s="75" t="s">
        <v>18</v>
      </c>
      <c r="I8" s="47"/>
      <c r="K8" s="63" t="s">
        <v>19</v>
      </c>
      <c r="L8" s="54">
        <f>L7/12</f>
        <v>600</v>
      </c>
      <c r="N8" s="44"/>
      <c r="O8" s="123"/>
      <c r="P8" s="43" t="s">
        <v>20</v>
      </c>
      <c r="Q8" s="49">
        <f>COUNTIF(C20:C379,"&gt;0")</f>
        <v>360</v>
      </c>
      <c r="R8" s="44"/>
      <c r="S8" s="44"/>
      <c r="AE8" s="1" t="s">
        <v>18</v>
      </c>
    </row>
    <row r="9" spans="1:33" ht="15" customHeight="1" x14ac:dyDescent="0.2">
      <c r="A9" s="4"/>
      <c r="B9" s="5"/>
      <c r="C9" s="6" t="str">
        <f>IF(Program=AE25,"Loan Amount",IF(Program=AE26,"Loan Amount (with FHA's UFMIP)",IF(Program=AE27,"Loan Amount (with VA's Funding Fee)",IF(Program=AE28,"Loan Amount (with USDA's UFMIP)",""))))</f>
        <v>Loan Amount (with FHA's UFMIP)</v>
      </c>
      <c r="D9" s="53">
        <f>(D6-(D6*D7))+(D6-(D6*D7))*AF24</f>
        <v>366300</v>
      </c>
      <c r="E9" s="31"/>
      <c r="F9" s="288" t="s">
        <v>21</v>
      </c>
      <c r="G9" s="289"/>
      <c r="H9" s="291"/>
      <c r="I9" s="47"/>
      <c r="K9" s="44"/>
      <c r="L9" s="44"/>
      <c r="N9" s="44"/>
      <c r="O9" s="123"/>
      <c r="P9" s="43" t="s">
        <v>22</v>
      </c>
      <c r="Q9" s="48">
        <f>IF(values_entered,SUMIF(Beg_Bal,"&gt;0",Extra_Pay),"")</f>
        <v>0</v>
      </c>
      <c r="R9" s="44"/>
      <c r="S9" s="44"/>
      <c r="AE9" s="1" t="s">
        <v>23</v>
      </c>
    </row>
    <row r="10" spans="1:33" x14ac:dyDescent="0.2">
      <c r="A10" s="4"/>
      <c r="B10" s="5"/>
      <c r="C10" s="6" t="s">
        <v>24</v>
      </c>
      <c r="D10" s="135">
        <v>6.7500000000000004E-2</v>
      </c>
      <c r="E10" s="31"/>
      <c r="F10" s="292" t="s">
        <v>25</v>
      </c>
      <c r="G10" s="293"/>
      <c r="H10" s="64">
        <f>Scheduled_Monthly_Payment</f>
        <v>2375.8148277293635</v>
      </c>
      <c r="I10" s="47"/>
      <c r="K10" s="61" t="s">
        <v>26</v>
      </c>
      <c r="L10" s="142">
        <v>0.25</v>
      </c>
      <c r="N10" s="44"/>
      <c r="O10" s="123"/>
      <c r="P10" s="82" t="s">
        <v>27</v>
      </c>
      <c r="Q10" s="52">
        <f>IF(values_entered,SUMIF(Beg_Bal,"&gt;0",Int),"")</f>
        <v>488993.337982581</v>
      </c>
      <c r="R10" s="44"/>
      <c r="S10" s="44"/>
      <c r="AE10" s="1" t="s">
        <v>28</v>
      </c>
    </row>
    <row r="11" spans="1:33" ht="15" x14ac:dyDescent="0.25">
      <c r="A11" s="4"/>
      <c r="B11" s="5"/>
      <c r="C11" s="6" t="s">
        <v>29</v>
      </c>
      <c r="D11" s="136">
        <v>30</v>
      </c>
      <c r="E11" s="31"/>
      <c r="F11" s="294" t="s">
        <v>30</v>
      </c>
      <c r="G11" s="295"/>
      <c r="H11" s="64">
        <f>L8</f>
        <v>600</v>
      </c>
      <c r="I11" s="47"/>
      <c r="K11" s="62" t="s">
        <v>31</v>
      </c>
      <c r="L11" s="64">
        <f>L10*0.01*D6</f>
        <v>1125</v>
      </c>
      <c r="N11" s="44"/>
      <c r="O11" s="44"/>
      <c r="P11" s="44"/>
      <c r="Q11" s="44"/>
      <c r="R11" s="44"/>
      <c r="S11" s="44"/>
    </row>
    <row r="12" spans="1:33" ht="15" x14ac:dyDescent="0.25">
      <c r="A12" s="4"/>
      <c r="B12" s="5"/>
      <c r="C12" s="6" t="s">
        <v>32</v>
      </c>
      <c r="D12" s="137">
        <v>44896</v>
      </c>
      <c r="E12" s="41"/>
      <c r="F12" s="294" t="s">
        <v>33</v>
      </c>
      <c r="G12" s="295"/>
      <c r="H12" s="64">
        <f>L12</f>
        <v>93.75</v>
      </c>
      <c r="I12" s="47"/>
      <c r="K12" s="63" t="s">
        <v>34</v>
      </c>
      <c r="L12" s="54">
        <f>L11/12</f>
        <v>93.75</v>
      </c>
      <c r="N12" s="44"/>
      <c r="O12" s="44"/>
      <c r="P12" s="44"/>
      <c r="Q12" s="44"/>
      <c r="R12" s="44"/>
      <c r="S12" s="44"/>
    </row>
    <row r="13" spans="1:33" ht="13.5" thickBot="1" x14ac:dyDescent="0.25">
      <c r="A13" s="3"/>
      <c r="B13" s="7"/>
      <c r="C13" s="8" t="s">
        <v>35</v>
      </c>
      <c r="D13" s="138"/>
      <c r="E13" s="42"/>
      <c r="F13" s="296" t="s">
        <v>36</v>
      </c>
      <c r="G13" s="297"/>
      <c r="H13" s="64">
        <f>L15</f>
        <v>244.20000000000002</v>
      </c>
      <c r="I13" s="47"/>
      <c r="K13" s="65"/>
      <c r="L13" s="65"/>
      <c r="N13" s="44"/>
      <c r="O13" s="44"/>
      <c r="P13" s="44"/>
      <c r="Q13" s="44"/>
      <c r="R13" s="44"/>
      <c r="S13" s="43"/>
      <c r="T13" s="50"/>
      <c r="U13" s="50"/>
      <c r="V13" s="50"/>
      <c r="W13" s="50"/>
      <c r="X13" s="50"/>
      <c r="Y13" s="50"/>
      <c r="Z13" s="50"/>
      <c r="AA13" s="50"/>
      <c r="AB13" s="50"/>
      <c r="AC13" s="40"/>
      <c r="AE13" s="282" t="s">
        <v>37</v>
      </c>
      <c r="AF13" s="283"/>
      <c r="AG13" s="284"/>
    </row>
    <row r="14" spans="1:33" ht="13.5" thickBot="1" x14ac:dyDescent="0.25">
      <c r="A14" s="3"/>
      <c r="B14" s="47"/>
      <c r="C14" s="47"/>
      <c r="E14" s="42"/>
      <c r="F14" s="285" t="s">
        <v>38</v>
      </c>
      <c r="G14" s="286"/>
      <c r="H14" s="69">
        <f>SUM(H10:H13)</f>
        <v>3313.7648277293633</v>
      </c>
      <c r="I14" s="47"/>
      <c r="K14" s="67" t="str">
        <f>IF(Program=AE25,"PMI Rate",IF(Program=AE26,"Monthly MI",IF(Program=AE27,"No MI",IF(Program=AE28,"MIP Rate",""))))</f>
        <v>Monthly MI</v>
      </c>
      <c r="L14" s="66">
        <f>AG24</f>
        <v>0.8</v>
      </c>
      <c r="M14" s="60" t="s">
        <v>39</v>
      </c>
      <c r="N14" s="44"/>
      <c r="O14" s="44"/>
      <c r="P14" s="44"/>
      <c r="Q14" s="44"/>
      <c r="R14" s="44"/>
      <c r="S14" s="44"/>
      <c r="AE14" s="5"/>
      <c r="AF14" s="6" t="s">
        <v>40</v>
      </c>
      <c r="AG14" s="9"/>
    </row>
    <row r="15" spans="1:33" ht="15.75" x14ac:dyDescent="0.25">
      <c r="A15" s="287" t="str">
        <f>IF(AG58=0,"",AF58)</f>
        <v/>
      </c>
      <c r="B15" s="287"/>
      <c r="C15" s="287"/>
      <c r="D15" s="287"/>
      <c r="E15" s="287"/>
      <c r="F15" s="298" t="s">
        <v>41</v>
      </c>
      <c r="G15" s="299"/>
      <c r="H15" s="141"/>
      <c r="I15" s="47"/>
      <c r="K15" s="63" t="s">
        <v>42</v>
      </c>
      <c r="L15" s="54">
        <f>L14*Loan_Amount*0.01/12</f>
        <v>244.20000000000002</v>
      </c>
      <c r="N15" s="44"/>
      <c r="O15" s="44"/>
      <c r="P15" s="44"/>
      <c r="Q15" s="44"/>
      <c r="R15" s="44"/>
      <c r="S15" s="44"/>
      <c r="AE15" s="7"/>
      <c r="AF15" s="8" t="s">
        <v>43</v>
      </c>
      <c r="AG15" s="10" t="str">
        <f>IF(AG14&lt;&gt;"",120,"")</f>
        <v/>
      </c>
    </row>
    <row r="16" spans="1:33" ht="13.5" thickBot="1" x14ac:dyDescent="0.25">
      <c r="A16" s="3"/>
      <c r="B16" s="3"/>
      <c r="C16" s="3"/>
      <c r="D16" s="3"/>
      <c r="E16" s="30"/>
      <c r="F16" s="3"/>
      <c r="G16" s="3"/>
      <c r="H16" s="11"/>
      <c r="I16" s="51"/>
      <c r="K16" s="60"/>
      <c r="L16" s="44"/>
      <c r="N16" s="12"/>
      <c r="O16" s="12"/>
      <c r="P16" s="12"/>
      <c r="Q16" s="12"/>
      <c r="R16" s="12"/>
      <c r="S16" s="12"/>
      <c r="T16" s="71"/>
      <c r="U16" s="71"/>
      <c r="V16" s="71"/>
      <c r="W16" s="71"/>
      <c r="X16" s="71"/>
    </row>
    <row r="17" spans="1:35" ht="3" customHeight="1" thickTop="1" thickBot="1" x14ac:dyDescent="0.25">
      <c r="A17" s="2"/>
      <c r="B17" s="2"/>
      <c r="C17" s="2"/>
      <c r="D17" s="2"/>
      <c r="E17" s="29"/>
      <c r="F17" s="2"/>
      <c r="G17" s="2"/>
      <c r="H17" s="2"/>
      <c r="I17" s="2"/>
      <c r="J17" s="71"/>
      <c r="K17" s="2"/>
      <c r="L17" s="2"/>
      <c r="N17" s="19"/>
      <c r="O17" s="19"/>
      <c r="P17" s="19"/>
      <c r="Q17" s="19"/>
      <c r="R17" s="19"/>
      <c r="S17" s="19"/>
      <c r="T17" s="71"/>
      <c r="U17" s="71"/>
      <c r="V17" s="71"/>
      <c r="W17" s="71"/>
      <c r="X17" s="71"/>
    </row>
    <row r="18" spans="1:35" s="12" customFormat="1" ht="31.5" customHeight="1" thickBot="1" x14ac:dyDescent="0.25">
      <c r="A18" s="46" t="s">
        <v>44</v>
      </c>
      <c r="B18" s="45" t="s">
        <v>45</v>
      </c>
      <c r="C18" s="45" t="s">
        <v>46</v>
      </c>
      <c r="D18" s="45" t="s">
        <v>47</v>
      </c>
      <c r="E18" s="74" t="s">
        <v>48</v>
      </c>
      <c r="F18" s="45" t="s">
        <v>49</v>
      </c>
      <c r="G18" s="45" t="s">
        <v>50</v>
      </c>
      <c r="H18" s="45" t="s">
        <v>51</v>
      </c>
      <c r="I18" s="45" t="s">
        <v>52</v>
      </c>
      <c r="J18" s="71"/>
      <c r="K18" s="45" t="s">
        <v>53</v>
      </c>
      <c r="L18" s="45" t="s">
        <v>54</v>
      </c>
      <c r="M18" s="71"/>
      <c r="N18" s="19"/>
      <c r="O18" s="121" t="e">
        <f>O40/O51</f>
        <v>#DIV/0!</v>
      </c>
      <c r="P18" s="122" t="str">
        <f>IF(Loan_Amount&lt;=Conforming_Loan_Limit,IF(Program="USDA","DTI: ideally this is lower than 41%",IF(OR(Program="VA", Program="Conventional", Program="FHA"),"DTI: ideally this is lower than 45%")),"DTI: must be less than 43% for most jumbos")</f>
        <v>DTI: ideally this is lower than 45%</v>
      </c>
      <c r="Q18" s="155" t="e">
        <f>SUM(O21:O22)/O51</f>
        <v>#DIV/0!</v>
      </c>
      <c r="R18" s="158" t="s">
        <v>55</v>
      </c>
      <c r="S18" s="19"/>
      <c r="T18" s="71"/>
      <c r="U18" s="273" t="s">
        <v>56</v>
      </c>
      <c r="V18" s="274"/>
      <c r="W18" s="274"/>
      <c r="X18" s="275"/>
      <c r="Y18" s="71"/>
      <c r="Z18" s="71"/>
      <c r="AA18" s="71"/>
      <c r="AB18" s="71"/>
      <c r="AE18" s="1"/>
      <c r="AF18" s="1"/>
      <c r="AG18" s="1"/>
      <c r="AH18" s="1"/>
      <c r="AI18" s="1"/>
    </row>
    <row r="19" spans="1:35" s="12" customFormat="1" ht="3" customHeight="1" thickTop="1" x14ac:dyDescent="0.2">
      <c r="A19" s="2"/>
      <c r="B19" s="13"/>
      <c r="C19" s="13"/>
      <c r="D19" s="13"/>
      <c r="E19" s="32"/>
      <c r="F19" s="13"/>
      <c r="G19" s="13"/>
      <c r="H19" s="13"/>
      <c r="I19" s="14"/>
      <c r="J19" s="44"/>
      <c r="K19" s="14"/>
      <c r="L19" s="14"/>
      <c r="M19" s="71"/>
      <c r="N19" s="19"/>
      <c r="O19" s="19"/>
      <c r="P19" s="19"/>
      <c r="Q19" s="19"/>
      <c r="R19" s="19"/>
      <c r="S19" s="19"/>
      <c r="T19" s="71"/>
      <c r="U19" s="270" t="s">
        <v>57</v>
      </c>
      <c r="V19" s="271"/>
      <c r="W19" s="271"/>
      <c r="X19" s="272"/>
      <c r="Y19" s="71"/>
      <c r="Z19" s="71"/>
      <c r="AA19" s="71"/>
      <c r="AB19" s="71"/>
    </row>
    <row r="20" spans="1:35" s="12" customFormat="1" ht="14.25" customHeight="1" x14ac:dyDescent="0.25">
      <c r="A20" s="15">
        <f>IF(values_entered,1,"")</f>
        <v>1</v>
      </c>
      <c r="B20" s="16">
        <f t="shared" ref="B20:B83" si="0">IF(Pay_Num&lt;&gt;"",DATE(YEAR(Loan_Start),MONTH(Loan_Start)+(Pay_Num)*12/Num_Pmt_Per_Year,DAY(Loan_Start)),"")</f>
        <v>44927</v>
      </c>
      <c r="C20" s="17">
        <f>IF(values_entered,Loan_Amount,"")</f>
        <v>366300</v>
      </c>
      <c r="D20" s="17">
        <f t="shared" ref="D20:D83" si="1">IF($AG$14&lt;&gt;"",(IF(A20&lt;=$AG$15,(Loan_Amount*Interest_Rate/12),(Loan_Amount*((Interest_Rate/12+1)-1)/(1-((Interest_Rate/12+1)^(Loan_Years*-12+$AG$15)))))),(Loan_Amount*((Interest_Rate/12+1)-1)/(1-((Interest_Rate/12+1)^(Loan_Years*-12)))))</f>
        <v>2375.8148277293635</v>
      </c>
      <c r="E20" s="59"/>
      <c r="F20" s="17">
        <f t="shared" ref="F20:F83" si="2">IF(AND(Pay_Num&lt;&gt;"",Sched_Pay+Extra_Pay&lt;Beg_Bal),Sched_Pay+Extra_Pay,IF(Pay_Num&lt;&gt;"",Beg_Bal,""))</f>
        <v>2375.8148277293635</v>
      </c>
      <c r="G20" s="17">
        <f t="shared" ref="G20:G83" si="3">IF(Pay_Num&lt;&gt;"",Total_Pay-Int,"")</f>
        <v>315.37732772936306</v>
      </c>
      <c r="H20" s="17">
        <f>IF(Pay_Num&lt;&gt;"",Beg_Bal*(Interest_Rate/Num_Pmt_Per_Year),"")</f>
        <v>2060.4375000000005</v>
      </c>
      <c r="I20" s="17">
        <f t="shared" ref="I20:I83" si="4">IF(AND(Pay_Num&lt;&gt;"",Sched_Pay+Extra_Pay&lt;Beg_Bal),Beg_Bal-Princ,IF(Pay_Num&lt;&gt;"",0,""))</f>
        <v>365984.62267227063</v>
      </c>
      <c r="J20" s="72"/>
      <c r="K20" s="18">
        <f>G20</f>
        <v>315.37732772936306</v>
      </c>
      <c r="L20" s="18">
        <f>H20</f>
        <v>2060.4375000000005</v>
      </c>
      <c r="M20" s="71"/>
      <c r="N20" s="19"/>
      <c r="O20" s="106" t="s">
        <v>58</v>
      </c>
      <c r="P20" s="109" t="s">
        <v>59</v>
      </c>
      <c r="Q20" s="110" t="s">
        <v>60</v>
      </c>
      <c r="R20" s="108" t="s">
        <v>58</v>
      </c>
      <c r="S20" s="19"/>
      <c r="T20" s="71"/>
      <c r="U20" s="106" t="s">
        <v>58</v>
      </c>
      <c r="V20" s="120" t="s">
        <v>59</v>
      </c>
      <c r="W20" s="107" t="s">
        <v>60</v>
      </c>
      <c r="X20" s="108" t="s">
        <v>58</v>
      </c>
      <c r="Y20" s="71"/>
      <c r="Z20" s="71"/>
      <c r="AA20" s="71"/>
      <c r="AB20" s="71"/>
    </row>
    <row r="21" spans="1:35" s="12" customFormat="1" ht="14.25" customHeight="1" x14ac:dyDescent="0.25">
      <c r="A21" s="15">
        <f t="shared" ref="A21:A84" si="5">IF(values_entered,A20+1,"")</f>
        <v>2</v>
      </c>
      <c r="B21" s="16">
        <f t="shared" si="0"/>
        <v>44958</v>
      </c>
      <c r="C21" s="20">
        <f t="shared" ref="C21:C84" si="6">IF(Pay_Num&lt;&gt;"",I20,"")</f>
        <v>365984.62267227063</v>
      </c>
      <c r="D21" s="20">
        <f t="shared" si="1"/>
        <v>2375.8148277293635</v>
      </c>
      <c r="E21" s="59">
        <f t="shared" ref="E21:E84" si="7">$D$13</f>
        <v>0</v>
      </c>
      <c r="F21" s="20">
        <f t="shared" si="2"/>
        <v>2375.8148277293635</v>
      </c>
      <c r="G21" s="20">
        <f t="shared" si="3"/>
        <v>317.15132519784129</v>
      </c>
      <c r="H21" s="20">
        <f t="shared" ref="H21:H84" si="8">IF(Pay_Num&lt;&gt;"",Beg_Bal*Interest_Rate/Num_Pmt_Per_Year,"")</f>
        <v>2058.6635025315222</v>
      </c>
      <c r="I21" s="20">
        <f t="shared" si="4"/>
        <v>365667.4713470728</v>
      </c>
      <c r="J21" s="73"/>
      <c r="K21" s="22">
        <f t="shared" ref="K21:K84" si="9">G21+K20</f>
        <v>632.52865292720435</v>
      </c>
      <c r="L21" s="22">
        <f t="shared" ref="L21:L84" si="10">L20+H21</f>
        <v>4119.1010025315227</v>
      </c>
      <c r="M21" s="71"/>
      <c r="N21" s="23"/>
      <c r="O21" s="115">
        <f>H14</f>
        <v>3313.7648277293633</v>
      </c>
      <c r="P21" s="116" t="s">
        <v>61</v>
      </c>
      <c r="Q21" s="116"/>
      <c r="R21" s="117"/>
      <c r="S21" s="23"/>
      <c r="T21" s="44"/>
      <c r="U21" s="90">
        <f>X21</f>
        <v>0</v>
      </c>
      <c r="V21" s="78"/>
      <c r="W21" s="91">
        <f>Z25</f>
        <v>0</v>
      </c>
      <c r="X21" s="94">
        <f>AA25</f>
        <v>0</v>
      </c>
      <c r="Y21" s="71"/>
      <c r="Z21" s="71"/>
      <c r="AA21" s="71"/>
      <c r="AB21" s="71"/>
      <c r="AE21" s="5"/>
      <c r="AF21" s="6" t="s">
        <v>62</v>
      </c>
      <c r="AG21" s="39">
        <v>12</v>
      </c>
    </row>
    <row r="22" spans="1:35" s="12" customFormat="1" ht="14.25" customHeight="1" x14ac:dyDescent="0.25">
      <c r="A22" s="15">
        <f t="shared" si="5"/>
        <v>3</v>
      </c>
      <c r="B22" s="16">
        <f t="shared" si="0"/>
        <v>44986</v>
      </c>
      <c r="C22" s="20">
        <f t="shared" si="6"/>
        <v>365667.4713470728</v>
      </c>
      <c r="D22" s="20">
        <f t="shared" si="1"/>
        <v>2375.8148277293635</v>
      </c>
      <c r="E22" s="59">
        <f t="shared" si="7"/>
        <v>0</v>
      </c>
      <c r="F22" s="20">
        <f t="shared" si="2"/>
        <v>2375.8148277293635</v>
      </c>
      <c r="G22" s="20">
        <f t="shared" si="3"/>
        <v>318.93530140207895</v>
      </c>
      <c r="H22" s="20">
        <f t="shared" si="8"/>
        <v>2056.8795263272846</v>
      </c>
      <c r="I22" s="20">
        <f t="shared" si="4"/>
        <v>365348.53604567074</v>
      </c>
      <c r="J22" s="73"/>
      <c r="K22" s="22">
        <f t="shared" si="9"/>
        <v>951.4639543292833</v>
      </c>
      <c r="L22" s="22">
        <f t="shared" si="10"/>
        <v>6175.9805288588068</v>
      </c>
      <c r="M22" s="71"/>
      <c r="N22" s="23"/>
      <c r="O22" s="114">
        <f>H15</f>
        <v>0</v>
      </c>
      <c r="P22" s="92" t="s">
        <v>63</v>
      </c>
      <c r="Q22" s="92"/>
      <c r="R22" s="93"/>
      <c r="S22" s="23"/>
      <c r="T22" s="44"/>
      <c r="U22" s="84">
        <f t="shared" ref="U22:U38" si="11">X22</f>
        <v>0</v>
      </c>
      <c r="V22" s="79"/>
      <c r="W22" s="83">
        <f t="shared" ref="W22:X38" si="12">Z26</f>
        <v>0</v>
      </c>
      <c r="X22" s="95">
        <f t="shared" si="12"/>
        <v>0</v>
      </c>
      <c r="Y22" s="71"/>
      <c r="Z22" s="71"/>
      <c r="AA22" s="71"/>
      <c r="AB22" s="71"/>
    </row>
    <row r="23" spans="1:35" s="12" customFormat="1" ht="14.25" customHeight="1" x14ac:dyDescent="0.25">
      <c r="A23" s="15">
        <f t="shared" si="5"/>
        <v>4</v>
      </c>
      <c r="B23" s="16">
        <f t="shared" si="0"/>
        <v>45017</v>
      </c>
      <c r="C23" s="20">
        <f t="shared" si="6"/>
        <v>365348.53604567074</v>
      </c>
      <c r="D23" s="20">
        <f t="shared" si="1"/>
        <v>2375.8148277293635</v>
      </c>
      <c r="E23" s="59">
        <f t="shared" si="7"/>
        <v>0</v>
      </c>
      <c r="F23" s="20">
        <f t="shared" si="2"/>
        <v>2375.8148277293635</v>
      </c>
      <c r="G23" s="20">
        <f t="shared" si="3"/>
        <v>320.72931247246561</v>
      </c>
      <c r="H23" s="20">
        <f t="shared" si="8"/>
        <v>2055.0855152568979</v>
      </c>
      <c r="I23" s="20">
        <f t="shared" si="4"/>
        <v>365027.80673319829</v>
      </c>
      <c r="J23" s="73"/>
      <c r="K23" s="22">
        <f t="shared" si="9"/>
        <v>1272.1932668017489</v>
      </c>
      <c r="L23" s="22">
        <f t="shared" si="10"/>
        <v>8231.0660441157052</v>
      </c>
      <c r="M23" s="71"/>
      <c r="N23" s="23"/>
      <c r="O23" s="143">
        <f t="shared" ref="O23:O38" si="13">R23</f>
        <v>0</v>
      </c>
      <c r="P23" s="76"/>
      <c r="Q23" s="144"/>
      <c r="R23" s="145"/>
      <c r="S23" s="23"/>
      <c r="T23" s="44"/>
      <c r="U23" s="84">
        <f t="shared" si="11"/>
        <v>0</v>
      </c>
      <c r="V23" s="79"/>
      <c r="W23" s="83">
        <f t="shared" si="12"/>
        <v>0</v>
      </c>
      <c r="X23" s="95">
        <f t="shared" si="12"/>
        <v>0</v>
      </c>
      <c r="Y23" s="71"/>
      <c r="Z23" s="71"/>
      <c r="AA23" s="71"/>
      <c r="AB23" s="71"/>
      <c r="AE23" s="1"/>
      <c r="AF23" s="36" t="s">
        <v>64</v>
      </c>
      <c r="AG23" s="36" t="s">
        <v>65</v>
      </c>
      <c r="AH23" s="1"/>
    </row>
    <row r="24" spans="1:35" s="12" customFormat="1" ht="14.25" customHeight="1" x14ac:dyDescent="0.25">
      <c r="A24" s="15">
        <f t="shared" si="5"/>
        <v>5</v>
      </c>
      <c r="B24" s="16">
        <f t="shared" si="0"/>
        <v>45047</v>
      </c>
      <c r="C24" s="20">
        <f t="shared" si="6"/>
        <v>365027.80673319829</v>
      </c>
      <c r="D24" s="20">
        <f t="shared" si="1"/>
        <v>2375.8148277293635</v>
      </c>
      <c r="E24" s="59">
        <f t="shared" si="7"/>
        <v>0</v>
      </c>
      <c r="F24" s="20">
        <f t="shared" si="2"/>
        <v>2375.8148277293635</v>
      </c>
      <c r="G24" s="20">
        <f t="shared" si="3"/>
        <v>322.53341485512283</v>
      </c>
      <c r="H24" s="20">
        <f t="shared" si="8"/>
        <v>2053.2814128742407</v>
      </c>
      <c r="I24" s="20">
        <f t="shared" si="4"/>
        <v>364705.27331834316</v>
      </c>
      <c r="J24" s="73"/>
      <c r="K24" s="22">
        <f t="shared" si="9"/>
        <v>1594.7266816568717</v>
      </c>
      <c r="L24" s="22">
        <f t="shared" si="10"/>
        <v>10284.347456989946</v>
      </c>
      <c r="M24" s="44"/>
      <c r="N24" s="23"/>
      <c r="O24" s="146">
        <f t="shared" si="13"/>
        <v>0</v>
      </c>
      <c r="P24" s="77"/>
      <c r="Q24" s="147"/>
      <c r="R24" s="148"/>
      <c r="S24" s="23"/>
      <c r="T24" s="44"/>
      <c r="U24" s="84">
        <f t="shared" si="11"/>
        <v>0</v>
      </c>
      <c r="V24" s="79"/>
      <c r="W24" s="83">
        <f t="shared" si="12"/>
        <v>0</v>
      </c>
      <c r="X24" s="95">
        <f t="shared" si="12"/>
        <v>0</v>
      </c>
      <c r="Y24" s="44"/>
      <c r="Z24" s="71"/>
      <c r="AA24" s="71"/>
      <c r="AB24" s="71"/>
      <c r="AE24" s="1"/>
      <c r="AF24" s="37">
        <f>_xlfn.XLOOKUP($H$7,$AE25:$AE28,AF25:AF28,0)</f>
        <v>1.7500000000000002E-2</v>
      </c>
      <c r="AG24" s="38">
        <f>_xlfn.XLOOKUP($H$7,$AE25:$AE28,AG25:AG28,0)</f>
        <v>0.8</v>
      </c>
      <c r="AH24" s="1"/>
    </row>
    <row r="25" spans="1:35" ht="14.25" customHeight="1" x14ac:dyDescent="0.25">
      <c r="A25" s="15">
        <f t="shared" si="5"/>
        <v>6</v>
      </c>
      <c r="B25" s="16">
        <f t="shared" si="0"/>
        <v>45078</v>
      </c>
      <c r="C25" s="20">
        <f t="shared" si="6"/>
        <v>364705.27331834316</v>
      </c>
      <c r="D25" s="20">
        <f t="shared" si="1"/>
        <v>2375.8148277293635</v>
      </c>
      <c r="E25" s="59">
        <f t="shared" si="7"/>
        <v>0</v>
      </c>
      <c r="F25" s="20">
        <f t="shared" si="2"/>
        <v>2375.8148277293635</v>
      </c>
      <c r="G25" s="20">
        <f t="shared" si="3"/>
        <v>324.34766531368314</v>
      </c>
      <c r="H25" s="20">
        <f t="shared" si="8"/>
        <v>2051.4671624156804</v>
      </c>
      <c r="I25" s="20">
        <f t="shared" si="4"/>
        <v>364380.92565302947</v>
      </c>
      <c r="J25" s="73"/>
      <c r="K25" s="22">
        <f t="shared" si="9"/>
        <v>1919.0743469705549</v>
      </c>
      <c r="L25" s="22">
        <f t="shared" si="10"/>
        <v>12335.814619405626</v>
      </c>
      <c r="N25" s="23"/>
      <c r="O25" s="146">
        <f t="shared" si="13"/>
        <v>0</v>
      </c>
      <c r="P25" s="77"/>
      <c r="Q25" s="147"/>
      <c r="R25" s="148"/>
      <c r="S25" s="23"/>
      <c r="U25" s="84">
        <f t="shared" si="11"/>
        <v>0</v>
      </c>
      <c r="V25" s="79"/>
      <c r="W25" s="83">
        <f t="shared" si="12"/>
        <v>0</v>
      </c>
      <c r="X25" s="95">
        <f t="shared" si="12"/>
        <v>0</v>
      </c>
      <c r="AE25" s="1" t="s">
        <v>66</v>
      </c>
      <c r="AF25" s="35">
        <v>0</v>
      </c>
      <c r="AG25" s="1">
        <f>IF(Loan_Amount/D6&gt;AG33,9999,IF(Loan_Amount/D6&gt;AG34,AF34,IF(Loan_Amount/D6&gt;AG35,AF35,IF(Loan_Amount/D6&gt;AG36,AF36,IF(Loan_Amount/D6&gt;AG37,AF37,0)))))</f>
        <v>0.23</v>
      </c>
      <c r="AI25" s="12"/>
    </row>
    <row r="26" spans="1:35" ht="14.25" customHeight="1" x14ac:dyDescent="0.25">
      <c r="A26" s="15">
        <f t="shared" si="5"/>
        <v>7</v>
      </c>
      <c r="B26" s="16">
        <f t="shared" si="0"/>
        <v>45108</v>
      </c>
      <c r="C26" s="20">
        <f t="shared" si="6"/>
        <v>364380.92565302947</v>
      </c>
      <c r="D26" s="20">
        <f t="shared" si="1"/>
        <v>2375.8148277293635</v>
      </c>
      <c r="E26" s="59">
        <f t="shared" si="7"/>
        <v>0</v>
      </c>
      <c r="F26" s="20">
        <f t="shared" si="2"/>
        <v>2375.8148277293635</v>
      </c>
      <c r="G26" s="20">
        <f t="shared" si="3"/>
        <v>326.17212093107264</v>
      </c>
      <c r="H26" s="20">
        <f t="shared" si="8"/>
        <v>2049.6427067982909</v>
      </c>
      <c r="I26" s="20">
        <f t="shared" si="4"/>
        <v>364054.75353209837</v>
      </c>
      <c r="J26" s="73"/>
      <c r="K26" s="22">
        <f t="shared" si="9"/>
        <v>2245.2464679016275</v>
      </c>
      <c r="L26" s="22">
        <f t="shared" si="10"/>
        <v>14385.457326203918</v>
      </c>
      <c r="N26" s="23"/>
      <c r="O26" s="146">
        <f t="shared" si="13"/>
        <v>0</v>
      </c>
      <c r="P26" s="77"/>
      <c r="Q26" s="147"/>
      <c r="R26" s="148"/>
      <c r="S26" s="23"/>
      <c r="U26" s="84">
        <f t="shared" si="11"/>
        <v>0</v>
      </c>
      <c r="V26" s="79"/>
      <c r="W26" s="83">
        <f t="shared" si="12"/>
        <v>0</v>
      </c>
      <c r="X26" s="95">
        <f t="shared" si="12"/>
        <v>0</v>
      </c>
      <c r="AE26" s="1" t="s">
        <v>15</v>
      </c>
      <c r="AF26" s="35">
        <v>1.7500000000000002E-2</v>
      </c>
      <c r="AG26" s="1">
        <f>IF(Loan_Years&gt;15, IF(DownPayment&lt;=3.5%,AG42,AG43),IF(DownPayment&lt;10%,AG46,AG47))</f>
        <v>0.8</v>
      </c>
    </row>
    <row r="27" spans="1:35" ht="14.25" customHeight="1" x14ac:dyDescent="0.25">
      <c r="A27" s="15">
        <f t="shared" si="5"/>
        <v>8</v>
      </c>
      <c r="B27" s="16">
        <f t="shared" si="0"/>
        <v>45139</v>
      </c>
      <c r="C27" s="20">
        <f t="shared" si="6"/>
        <v>364054.75353209837</v>
      </c>
      <c r="D27" s="20">
        <f t="shared" si="1"/>
        <v>2375.8148277293635</v>
      </c>
      <c r="E27" s="59">
        <f t="shared" si="7"/>
        <v>0</v>
      </c>
      <c r="F27" s="20">
        <f t="shared" si="2"/>
        <v>2375.8148277293635</v>
      </c>
      <c r="G27" s="20">
        <f t="shared" si="3"/>
        <v>328.00683911131023</v>
      </c>
      <c r="H27" s="20">
        <f t="shared" si="8"/>
        <v>2047.8079886180533</v>
      </c>
      <c r="I27" s="20">
        <f t="shared" si="4"/>
        <v>363726.74669298704</v>
      </c>
      <c r="J27" s="73"/>
      <c r="K27" s="22">
        <f t="shared" si="9"/>
        <v>2573.2533070129375</v>
      </c>
      <c r="L27" s="22">
        <f t="shared" si="10"/>
        <v>16433.265314821972</v>
      </c>
      <c r="N27" s="23"/>
      <c r="O27" s="146">
        <f t="shared" si="13"/>
        <v>0</v>
      </c>
      <c r="P27" s="77"/>
      <c r="Q27" s="147"/>
      <c r="R27" s="148"/>
      <c r="S27" s="23"/>
      <c r="U27" s="84">
        <f t="shared" si="11"/>
        <v>0</v>
      </c>
      <c r="V27" s="79"/>
      <c r="W27" s="83">
        <f t="shared" si="12"/>
        <v>0</v>
      </c>
      <c r="X27" s="95">
        <f t="shared" si="12"/>
        <v>0</v>
      </c>
      <c r="AE27" s="1" t="s">
        <v>67</v>
      </c>
      <c r="AF27" s="35">
        <f>IF(H8=AE8,0.022,IF(H8=AE9,0.033,0))</f>
        <v>2.1999999999999999E-2</v>
      </c>
      <c r="AG27" s="1">
        <v>0</v>
      </c>
    </row>
    <row r="28" spans="1:35" ht="14.25" customHeight="1" x14ac:dyDescent="0.25">
      <c r="A28" s="15">
        <f t="shared" si="5"/>
        <v>9</v>
      </c>
      <c r="B28" s="16">
        <f t="shared" si="0"/>
        <v>45170</v>
      </c>
      <c r="C28" s="20">
        <f t="shared" si="6"/>
        <v>363726.74669298704</v>
      </c>
      <c r="D28" s="20">
        <f t="shared" si="1"/>
        <v>2375.8148277293635</v>
      </c>
      <c r="E28" s="59">
        <f t="shared" si="7"/>
        <v>0</v>
      </c>
      <c r="F28" s="20">
        <f t="shared" si="2"/>
        <v>2375.8148277293635</v>
      </c>
      <c r="G28" s="20">
        <f t="shared" si="3"/>
        <v>329.85187758131133</v>
      </c>
      <c r="H28" s="20">
        <f t="shared" si="8"/>
        <v>2045.9629501480522</v>
      </c>
      <c r="I28" s="20">
        <f t="shared" si="4"/>
        <v>363396.89481540571</v>
      </c>
      <c r="J28" s="73"/>
      <c r="K28" s="22">
        <f t="shared" si="9"/>
        <v>2903.1051845942488</v>
      </c>
      <c r="L28" s="22">
        <f t="shared" si="10"/>
        <v>18479.228264970025</v>
      </c>
      <c r="N28" s="23"/>
      <c r="O28" s="146">
        <f t="shared" si="13"/>
        <v>0</v>
      </c>
      <c r="P28" s="77"/>
      <c r="Q28" s="147"/>
      <c r="R28" s="148"/>
      <c r="S28" s="23"/>
      <c r="U28" s="84">
        <f t="shared" si="11"/>
        <v>0</v>
      </c>
      <c r="V28" s="79"/>
      <c r="W28" s="83">
        <f t="shared" si="12"/>
        <v>0</v>
      </c>
      <c r="X28" s="95">
        <f t="shared" si="12"/>
        <v>0</v>
      </c>
      <c r="AE28" s="1" t="s">
        <v>68</v>
      </c>
      <c r="AF28" s="35">
        <v>0.01</v>
      </c>
      <c r="AG28" s="1">
        <v>0.35</v>
      </c>
    </row>
    <row r="29" spans="1:35" ht="14.25" customHeight="1" x14ac:dyDescent="0.25">
      <c r="A29" s="15">
        <f t="shared" si="5"/>
        <v>10</v>
      </c>
      <c r="B29" s="16">
        <f t="shared" si="0"/>
        <v>45200</v>
      </c>
      <c r="C29" s="20">
        <f t="shared" si="6"/>
        <v>363396.89481540571</v>
      </c>
      <c r="D29" s="20">
        <f t="shared" si="1"/>
        <v>2375.8148277293635</v>
      </c>
      <c r="E29" s="59">
        <f t="shared" si="7"/>
        <v>0</v>
      </c>
      <c r="F29" s="20">
        <f t="shared" si="2"/>
        <v>2375.8148277293635</v>
      </c>
      <c r="G29" s="20">
        <f t="shared" si="3"/>
        <v>331.70729439270622</v>
      </c>
      <c r="H29" s="20">
        <f t="shared" si="8"/>
        <v>2044.1075333366573</v>
      </c>
      <c r="I29" s="20">
        <f t="shared" si="4"/>
        <v>363065.18752101302</v>
      </c>
      <c r="J29" s="73"/>
      <c r="K29" s="22">
        <f t="shared" si="9"/>
        <v>3234.8124789869553</v>
      </c>
      <c r="L29" s="22">
        <f t="shared" si="10"/>
        <v>20523.335798306682</v>
      </c>
      <c r="N29" s="23"/>
      <c r="O29" s="146">
        <f t="shared" si="13"/>
        <v>0</v>
      </c>
      <c r="P29" s="77"/>
      <c r="Q29" s="147"/>
      <c r="R29" s="148"/>
      <c r="S29" s="23"/>
      <c r="U29" s="84">
        <f t="shared" si="11"/>
        <v>0</v>
      </c>
      <c r="V29" s="79"/>
      <c r="W29" s="83">
        <f t="shared" si="12"/>
        <v>0</v>
      </c>
      <c r="X29" s="95">
        <f t="shared" si="12"/>
        <v>0</v>
      </c>
      <c r="AF29" s="159"/>
    </row>
    <row r="30" spans="1:35" ht="14.25" customHeight="1" x14ac:dyDescent="0.25">
      <c r="A30" s="15">
        <f t="shared" si="5"/>
        <v>11</v>
      </c>
      <c r="B30" s="16">
        <f t="shared" si="0"/>
        <v>45231</v>
      </c>
      <c r="C30" s="20">
        <f t="shared" si="6"/>
        <v>363065.18752101302</v>
      </c>
      <c r="D30" s="20">
        <f t="shared" si="1"/>
        <v>2375.8148277293635</v>
      </c>
      <c r="E30" s="59">
        <f t="shared" si="7"/>
        <v>0</v>
      </c>
      <c r="F30" s="20">
        <f t="shared" si="2"/>
        <v>2375.8148277293635</v>
      </c>
      <c r="G30" s="20">
        <f t="shared" si="3"/>
        <v>333.57314792366515</v>
      </c>
      <c r="H30" s="20">
        <f t="shared" si="8"/>
        <v>2042.2416798056984</v>
      </c>
      <c r="I30" s="20">
        <f t="shared" si="4"/>
        <v>362731.61437308934</v>
      </c>
      <c r="J30" s="73"/>
      <c r="K30" s="22">
        <f t="shared" si="9"/>
        <v>3568.3856269106204</v>
      </c>
      <c r="L30" s="22">
        <f t="shared" si="10"/>
        <v>22565.57747811238</v>
      </c>
      <c r="N30" s="23"/>
      <c r="O30" s="146">
        <f t="shared" si="13"/>
        <v>0</v>
      </c>
      <c r="P30" s="77"/>
      <c r="Q30" s="147"/>
      <c r="R30" s="148"/>
      <c r="S30" s="23"/>
      <c r="U30" s="84">
        <f t="shared" si="11"/>
        <v>0</v>
      </c>
      <c r="V30" s="79"/>
      <c r="W30" s="83">
        <f t="shared" si="12"/>
        <v>0</v>
      </c>
      <c r="X30" s="95">
        <f t="shared" si="12"/>
        <v>0</v>
      </c>
    </row>
    <row r="31" spans="1:35" ht="14.25" customHeight="1" x14ac:dyDescent="0.25">
      <c r="A31" s="15">
        <f t="shared" si="5"/>
        <v>12</v>
      </c>
      <c r="B31" s="16">
        <f t="shared" si="0"/>
        <v>45261</v>
      </c>
      <c r="C31" s="20">
        <f t="shared" si="6"/>
        <v>362731.61437308934</v>
      </c>
      <c r="D31" s="20">
        <f t="shared" si="1"/>
        <v>2375.8148277293635</v>
      </c>
      <c r="E31" s="59">
        <f t="shared" si="7"/>
        <v>0</v>
      </c>
      <c r="F31" s="20">
        <f t="shared" si="2"/>
        <v>2375.8148277293635</v>
      </c>
      <c r="G31" s="20">
        <f t="shared" si="3"/>
        <v>335.44949688073598</v>
      </c>
      <c r="H31" s="20">
        <f t="shared" si="8"/>
        <v>2040.3653308486275</v>
      </c>
      <c r="I31" s="20">
        <f t="shared" si="4"/>
        <v>362396.16487620858</v>
      </c>
      <c r="J31" s="73"/>
      <c r="K31" s="22">
        <f t="shared" si="9"/>
        <v>3903.8351237913566</v>
      </c>
      <c r="L31" s="22">
        <f t="shared" si="10"/>
        <v>24605.942808961008</v>
      </c>
      <c r="N31" s="23"/>
      <c r="O31" s="146">
        <f t="shared" si="13"/>
        <v>0</v>
      </c>
      <c r="P31" s="77"/>
      <c r="Q31" s="147"/>
      <c r="R31" s="148"/>
      <c r="S31" s="23"/>
      <c r="U31" s="84">
        <f t="shared" si="11"/>
        <v>0</v>
      </c>
      <c r="V31" s="79"/>
      <c r="W31" s="83">
        <f t="shared" si="12"/>
        <v>0</v>
      </c>
      <c r="X31" s="95">
        <f t="shared" si="12"/>
        <v>0</v>
      </c>
      <c r="AE31" s="160" t="s">
        <v>69</v>
      </c>
      <c r="AF31" s="160"/>
      <c r="AG31" s="160"/>
    </row>
    <row r="32" spans="1:35" ht="14.25" customHeight="1" x14ac:dyDescent="0.25">
      <c r="A32" s="15">
        <f t="shared" si="5"/>
        <v>13</v>
      </c>
      <c r="B32" s="16">
        <f t="shared" si="0"/>
        <v>45292</v>
      </c>
      <c r="C32" s="20">
        <f t="shared" si="6"/>
        <v>362396.16487620858</v>
      </c>
      <c r="D32" s="20">
        <f t="shared" si="1"/>
        <v>2375.8148277293635</v>
      </c>
      <c r="E32" s="59">
        <f t="shared" si="7"/>
        <v>0</v>
      </c>
      <c r="F32" s="20">
        <f t="shared" si="2"/>
        <v>2375.8148277293635</v>
      </c>
      <c r="G32" s="20">
        <f t="shared" si="3"/>
        <v>337.33640030069023</v>
      </c>
      <c r="H32" s="20">
        <f t="shared" si="8"/>
        <v>2038.4784274286733</v>
      </c>
      <c r="I32" s="20">
        <f t="shared" si="4"/>
        <v>362058.82847590791</v>
      </c>
      <c r="J32" s="73"/>
      <c r="K32" s="22">
        <f t="shared" si="9"/>
        <v>4241.1715240920466</v>
      </c>
      <c r="L32" s="22">
        <f t="shared" si="10"/>
        <v>26644.42123638968</v>
      </c>
      <c r="N32" s="23"/>
      <c r="O32" s="146">
        <f t="shared" si="13"/>
        <v>0</v>
      </c>
      <c r="P32" s="77"/>
      <c r="Q32" s="147"/>
      <c r="R32" s="148"/>
      <c r="S32" s="23"/>
      <c r="U32" s="84">
        <f t="shared" si="11"/>
        <v>0</v>
      </c>
      <c r="V32" s="79"/>
      <c r="W32" s="83">
        <f t="shared" si="12"/>
        <v>0</v>
      </c>
      <c r="X32" s="95">
        <f t="shared" si="12"/>
        <v>0</v>
      </c>
      <c r="AE32" s="1" t="s">
        <v>70</v>
      </c>
    </row>
    <row r="33" spans="1:33" ht="14.25" customHeight="1" x14ac:dyDescent="0.25">
      <c r="A33" s="15">
        <f t="shared" si="5"/>
        <v>14</v>
      </c>
      <c r="B33" s="16">
        <f t="shared" si="0"/>
        <v>45323</v>
      </c>
      <c r="C33" s="20">
        <f t="shared" si="6"/>
        <v>362058.82847590791</v>
      </c>
      <c r="D33" s="20">
        <f t="shared" si="1"/>
        <v>2375.8148277293635</v>
      </c>
      <c r="E33" s="59">
        <f t="shared" si="7"/>
        <v>0</v>
      </c>
      <c r="F33" s="20">
        <f t="shared" si="2"/>
        <v>2375.8148277293635</v>
      </c>
      <c r="G33" s="20">
        <f t="shared" si="3"/>
        <v>339.2339175523814</v>
      </c>
      <c r="H33" s="20">
        <f t="shared" si="8"/>
        <v>2036.5809101769821</v>
      </c>
      <c r="I33" s="20">
        <f t="shared" si="4"/>
        <v>361719.59455835551</v>
      </c>
      <c r="J33" s="73"/>
      <c r="K33" s="22">
        <f t="shared" si="9"/>
        <v>4580.4054416444278</v>
      </c>
      <c r="L33" s="22">
        <f t="shared" si="10"/>
        <v>28681.002146566661</v>
      </c>
      <c r="N33" s="23"/>
      <c r="O33" s="146">
        <f t="shared" si="13"/>
        <v>0</v>
      </c>
      <c r="P33" s="77"/>
      <c r="Q33" s="147"/>
      <c r="R33" s="148"/>
      <c r="S33" s="23"/>
      <c r="U33" s="84">
        <f t="shared" si="11"/>
        <v>0</v>
      </c>
      <c r="V33" s="79"/>
      <c r="W33" s="83">
        <f t="shared" si="12"/>
        <v>0</v>
      </c>
      <c r="X33" s="95">
        <f t="shared" si="12"/>
        <v>0</v>
      </c>
      <c r="AG33" s="1">
        <v>0.97</v>
      </c>
    </row>
    <row r="34" spans="1:33" ht="14.25" customHeight="1" x14ac:dyDescent="0.25">
      <c r="A34" s="15">
        <f t="shared" si="5"/>
        <v>15</v>
      </c>
      <c r="B34" s="16">
        <f t="shared" si="0"/>
        <v>45352</v>
      </c>
      <c r="C34" s="20">
        <f t="shared" si="6"/>
        <v>361719.59455835551</v>
      </c>
      <c r="D34" s="20">
        <f t="shared" si="1"/>
        <v>2375.8148277293635</v>
      </c>
      <c r="E34" s="59">
        <f t="shared" si="7"/>
        <v>0</v>
      </c>
      <c r="F34" s="20">
        <f t="shared" si="2"/>
        <v>2375.8148277293635</v>
      </c>
      <c r="G34" s="20">
        <f t="shared" si="3"/>
        <v>341.14210833861353</v>
      </c>
      <c r="H34" s="20">
        <f t="shared" si="8"/>
        <v>2034.67271939075</v>
      </c>
      <c r="I34" s="20">
        <f t="shared" si="4"/>
        <v>361378.45245001692</v>
      </c>
      <c r="J34" s="73"/>
      <c r="K34" s="22">
        <f t="shared" si="9"/>
        <v>4921.5475499830409</v>
      </c>
      <c r="L34" s="22">
        <f t="shared" si="10"/>
        <v>30715.674865957411</v>
      </c>
      <c r="N34" s="23"/>
      <c r="O34" s="146">
        <f t="shared" si="13"/>
        <v>0</v>
      </c>
      <c r="P34" s="77"/>
      <c r="Q34" s="147"/>
      <c r="R34" s="148"/>
      <c r="S34" s="23"/>
      <c r="U34" s="84">
        <f t="shared" si="11"/>
        <v>0</v>
      </c>
      <c r="V34" s="79"/>
      <c r="W34" s="83">
        <f t="shared" si="12"/>
        <v>0</v>
      </c>
      <c r="X34" s="95">
        <f t="shared" si="12"/>
        <v>0</v>
      </c>
      <c r="AE34" s="1" t="s">
        <v>71</v>
      </c>
      <c r="AF34" s="1">
        <v>1.17</v>
      </c>
      <c r="AG34" s="1">
        <v>0.95</v>
      </c>
    </row>
    <row r="35" spans="1:33" ht="14.25" customHeight="1" x14ac:dyDescent="0.25">
      <c r="A35" s="15">
        <f t="shared" si="5"/>
        <v>16</v>
      </c>
      <c r="B35" s="16">
        <f t="shared" si="0"/>
        <v>45383</v>
      </c>
      <c r="C35" s="20">
        <f t="shared" si="6"/>
        <v>361378.45245001692</v>
      </c>
      <c r="D35" s="20">
        <f t="shared" si="1"/>
        <v>2375.8148277293635</v>
      </c>
      <c r="E35" s="59">
        <f t="shared" si="7"/>
        <v>0</v>
      </c>
      <c r="F35" s="20">
        <f t="shared" si="2"/>
        <v>2375.8148277293635</v>
      </c>
      <c r="G35" s="20">
        <f t="shared" si="3"/>
        <v>343.06103269801815</v>
      </c>
      <c r="H35" s="20">
        <f t="shared" si="8"/>
        <v>2032.7537950313454</v>
      </c>
      <c r="I35" s="20">
        <f t="shared" si="4"/>
        <v>361035.3914173189</v>
      </c>
      <c r="J35" s="73"/>
      <c r="K35" s="22">
        <f t="shared" si="9"/>
        <v>5264.6085826810595</v>
      </c>
      <c r="L35" s="22">
        <f t="shared" si="10"/>
        <v>32748.428660988757</v>
      </c>
      <c r="N35" s="23"/>
      <c r="O35" s="146">
        <f t="shared" si="13"/>
        <v>0</v>
      </c>
      <c r="P35" s="77"/>
      <c r="Q35" s="147"/>
      <c r="R35" s="148"/>
      <c r="S35" s="23"/>
      <c r="U35" s="84">
        <f t="shared" si="11"/>
        <v>0</v>
      </c>
      <c r="V35" s="79"/>
      <c r="W35" s="83">
        <f t="shared" si="12"/>
        <v>0</v>
      </c>
      <c r="X35" s="95">
        <f t="shared" si="12"/>
        <v>0</v>
      </c>
      <c r="AE35" s="1" t="s">
        <v>72</v>
      </c>
      <c r="AF35" s="1">
        <v>0.66</v>
      </c>
      <c r="AG35" s="1">
        <v>0.9</v>
      </c>
    </row>
    <row r="36" spans="1:33" ht="14.25" customHeight="1" x14ac:dyDescent="0.25">
      <c r="A36" s="15">
        <f t="shared" si="5"/>
        <v>17</v>
      </c>
      <c r="B36" s="16">
        <f t="shared" si="0"/>
        <v>45413</v>
      </c>
      <c r="C36" s="20">
        <f t="shared" si="6"/>
        <v>361035.3914173189</v>
      </c>
      <c r="D36" s="20">
        <f t="shared" si="1"/>
        <v>2375.8148277293635</v>
      </c>
      <c r="E36" s="59">
        <f t="shared" si="7"/>
        <v>0</v>
      </c>
      <c r="F36" s="20">
        <f t="shared" si="2"/>
        <v>2375.8148277293635</v>
      </c>
      <c r="G36" s="20">
        <f t="shared" si="3"/>
        <v>344.99075100694472</v>
      </c>
      <c r="H36" s="20">
        <f t="shared" si="8"/>
        <v>2030.8240767224188</v>
      </c>
      <c r="I36" s="20">
        <f t="shared" si="4"/>
        <v>360690.40066631197</v>
      </c>
      <c r="J36" s="73"/>
      <c r="K36" s="22">
        <f t="shared" si="9"/>
        <v>5609.5993336880038</v>
      </c>
      <c r="L36" s="22">
        <f t="shared" si="10"/>
        <v>34779.252737711176</v>
      </c>
      <c r="N36" s="23"/>
      <c r="O36" s="146">
        <f t="shared" si="13"/>
        <v>0</v>
      </c>
      <c r="P36" s="77"/>
      <c r="Q36" s="147"/>
      <c r="R36" s="148"/>
      <c r="S36" s="23"/>
      <c r="U36" s="84">
        <f t="shared" si="11"/>
        <v>0</v>
      </c>
      <c r="V36" s="79"/>
      <c r="W36" s="83">
        <f t="shared" si="12"/>
        <v>0</v>
      </c>
      <c r="X36" s="95">
        <f t="shared" si="12"/>
        <v>0</v>
      </c>
      <c r="AE36" s="1" t="s">
        <v>73</v>
      </c>
      <c r="AF36" s="1">
        <v>0.46</v>
      </c>
      <c r="AG36" s="1">
        <v>0.85</v>
      </c>
    </row>
    <row r="37" spans="1:33" ht="14.25" customHeight="1" x14ac:dyDescent="0.25">
      <c r="A37" s="15">
        <f t="shared" si="5"/>
        <v>18</v>
      </c>
      <c r="B37" s="16">
        <f t="shared" si="0"/>
        <v>45444</v>
      </c>
      <c r="C37" s="20">
        <f t="shared" si="6"/>
        <v>360690.40066631197</v>
      </c>
      <c r="D37" s="20">
        <f t="shared" si="1"/>
        <v>2375.8148277293635</v>
      </c>
      <c r="E37" s="59">
        <f t="shared" si="7"/>
        <v>0</v>
      </c>
      <c r="F37" s="20">
        <f t="shared" si="2"/>
        <v>2375.8148277293635</v>
      </c>
      <c r="G37" s="20">
        <f t="shared" si="3"/>
        <v>346.93132398135867</v>
      </c>
      <c r="H37" s="20">
        <f t="shared" si="8"/>
        <v>2028.8835037480048</v>
      </c>
      <c r="I37" s="20">
        <f t="shared" si="4"/>
        <v>360343.46934233059</v>
      </c>
      <c r="J37" s="73"/>
      <c r="K37" s="22">
        <f t="shared" si="9"/>
        <v>5956.530657669362</v>
      </c>
      <c r="L37" s="22">
        <f t="shared" si="10"/>
        <v>36808.136241459179</v>
      </c>
      <c r="N37" s="23"/>
      <c r="O37" s="146">
        <f t="shared" si="13"/>
        <v>0</v>
      </c>
      <c r="P37" s="77"/>
      <c r="Q37" s="147"/>
      <c r="R37" s="148"/>
      <c r="S37" s="23"/>
      <c r="U37" s="84">
        <f t="shared" si="11"/>
        <v>0</v>
      </c>
      <c r="V37" s="78"/>
      <c r="W37" s="83">
        <f t="shared" si="12"/>
        <v>0</v>
      </c>
      <c r="X37" s="95">
        <f t="shared" si="12"/>
        <v>0</v>
      </c>
      <c r="AE37" s="1" t="s">
        <v>74</v>
      </c>
      <c r="AF37" s="1">
        <v>0.23</v>
      </c>
      <c r="AG37" s="1">
        <v>0.8</v>
      </c>
    </row>
    <row r="38" spans="1:33" ht="14.25" customHeight="1" x14ac:dyDescent="0.25">
      <c r="A38" s="15">
        <f t="shared" si="5"/>
        <v>19</v>
      </c>
      <c r="B38" s="16">
        <f t="shared" si="0"/>
        <v>45474</v>
      </c>
      <c r="C38" s="20">
        <f t="shared" si="6"/>
        <v>360343.46934233059</v>
      </c>
      <c r="D38" s="20">
        <f t="shared" si="1"/>
        <v>2375.8148277293635</v>
      </c>
      <c r="E38" s="59">
        <f t="shared" si="7"/>
        <v>0</v>
      </c>
      <c r="F38" s="20">
        <f t="shared" si="2"/>
        <v>2375.8148277293635</v>
      </c>
      <c r="G38" s="20">
        <f t="shared" si="3"/>
        <v>348.88281267875368</v>
      </c>
      <c r="H38" s="20">
        <f t="shared" si="8"/>
        <v>2026.9320150506098</v>
      </c>
      <c r="I38" s="20">
        <f t="shared" si="4"/>
        <v>359994.58652965183</v>
      </c>
      <c r="J38" s="73"/>
      <c r="K38" s="22">
        <f t="shared" si="9"/>
        <v>6305.4134703481159</v>
      </c>
      <c r="L38" s="22">
        <f t="shared" si="10"/>
        <v>38835.068256509789</v>
      </c>
      <c r="N38" s="23"/>
      <c r="O38" s="149">
        <f t="shared" si="13"/>
        <v>0</v>
      </c>
      <c r="P38" s="96"/>
      <c r="Q38" s="150"/>
      <c r="R38" s="151"/>
      <c r="S38" s="23"/>
      <c r="U38" s="85">
        <f t="shared" si="11"/>
        <v>0</v>
      </c>
      <c r="V38" s="86"/>
      <c r="W38" s="118">
        <f t="shared" si="12"/>
        <v>0</v>
      </c>
      <c r="X38" s="119">
        <f t="shared" si="12"/>
        <v>0</v>
      </c>
    </row>
    <row r="39" spans="1:33" ht="14.25" customHeight="1" x14ac:dyDescent="0.25">
      <c r="A39" s="15">
        <f t="shared" si="5"/>
        <v>20</v>
      </c>
      <c r="B39" s="16">
        <f t="shared" si="0"/>
        <v>45505</v>
      </c>
      <c r="C39" s="20">
        <f t="shared" si="6"/>
        <v>359994.58652965183</v>
      </c>
      <c r="D39" s="20">
        <f t="shared" si="1"/>
        <v>2375.8148277293635</v>
      </c>
      <c r="E39" s="59">
        <f t="shared" si="7"/>
        <v>0</v>
      </c>
      <c r="F39" s="20">
        <f t="shared" si="2"/>
        <v>2375.8148277293635</v>
      </c>
      <c r="G39" s="20">
        <f t="shared" si="3"/>
        <v>350.84527850007203</v>
      </c>
      <c r="H39" s="20">
        <f t="shared" si="8"/>
        <v>2024.9695492292915</v>
      </c>
      <c r="I39" s="20">
        <f t="shared" si="4"/>
        <v>359643.74125115178</v>
      </c>
      <c r="J39" s="73"/>
      <c r="K39" s="22">
        <f t="shared" si="9"/>
        <v>6656.2587488481877</v>
      </c>
      <c r="L39" s="22">
        <f t="shared" si="10"/>
        <v>40860.037805739077</v>
      </c>
      <c r="N39" s="23"/>
      <c r="O39" s="125">
        <f>U39</f>
        <v>0</v>
      </c>
      <c r="P39" s="126" t="s">
        <v>75</v>
      </c>
      <c r="Q39" s="128">
        <f>W39</f>
        <v>0</v>
      </c>
      <c r="R39" s="127">
        <f>X39</f>
        <v>0</v>
      </c>
      <c r="S39" s="23"/>
      <c r="U39" s="87">
        <f>SUM(U19:U38)</f>
        <v>0</v>
      </c>
      <c r="V39" s="88" t="s">
        <v>57</v>
      </c>
      <c r="W39" s="129">
        <f>SUM(W19:W38)</f>
        <v>0</v>
      </c>
      <c r="X39" s="89">
        <f>SUM(X19:X38)</f>
        <v>0</v>
      </c>
    </row>
    <row r="40" spans="1:33" ht="14.25" customHeight="1" x14ac:dyDescent="0.25">
      <c r="A40" s="15">
        <f t="shared" si="5"/>
        <v>21</v>
      </c>
      <c r="B40" s="16">
        <f t="shared" si="0"/>
        <v>45536</v>
      </c>
      <c r="C40" s="20">
        <f t="shared" si="6"/>
        <v>359643.74125115178</v>
      </c>
      <c r="D40" s="20">
        <f t="shared" si="1"/>
        <v>2375.8148277293635</v>
      </c>
      <c r="E40" s="59">
        <f t="shared" si="7"/>
        <v>0</v>
      </c>
      <c r="F40" s="20">
        <f t="shared" si="2"/>
        <v>2375.8148277293635</v>
      </c>
      <c r="G40" s="20">
        <f t="shared" si="3"/>
        <v>352.81878319163457</v>
      </c>
      <c r="H40" s="20">
        <f t="shared" si="8"/>
        <v>2022.9960445377289</v>
      </c>
      <c r="I40" s="20">
        <f t="shared" si="4"/>
        <v>359290.92246796016</v>
      </c>
      <c r="J40" s="73"/>
      <c r="K40" s="22">
        <f t="shared" si="9"/>
        <v>7009.0775320398225</v>
      </c>
      <c r="L40" s="22">
        <f t="shared" si="10"/>
        <v>42883.033850276806</v>
      </c>
      <c r="N40" s="23"/>
      <c r="O40" s="131">
        <f>SUM(O21:O39)</f>
        <v>3313.7648277293633</v>
      </c>
      <c r="P40" s="130" t="s">
        <v>76</v>
      </c>
      <c r="Q40" s="103">
        <f>SUM(Q23:Q39)</f>
        <v>0</v>
      </c>
      <c r="R40" s="113">
        <f>SUM(R23:R39)</f>
        <v>0</v>
      </c>
      <c r="S40" s="23"/>
      <c r="AE40" s="160" t="s">
        <v>77</v>
      </c>
      <c r="AF40" s="160"/>
      <c r="AG40" s="160"/>
    </row>
    <row r="41" spans="1:33" ht="14.25" customHeight="1" x14ac:dyDescent="0.2">
      <c r="A41" s="15">
        <f t="shared" si="5"/>
        <v>22</v>
      </c>
      <c r="B41" s="16">
        <f t="shared" si="0"/>
        <v>45566</v>
      </c>
      <c r="C41" s="20">
        <f t="shared" si="6"/>
        <v>359290.92246796016</v>
      </c>
      <c r="D41" s="20">
        <f t="shared" si="1"/>
        <v>2375.8148277293635</v>
      </c>
      <c r="E41" s="59">
        <f t="shared" si="7"/>
        <v>0</v>
      </c>
      <c r="F41" s="20">
        <f t="shared" si="2"/>
        <v>2375.8148277293635</v>
      </c>
      <c r="G41" s="20">
        <f t="shared" si="3"/>
        <v>354.80338884708749</v>
      </c>
      <c r="H41" s="20">
        <f t="shared" si="8"/>
        <v>2021.011438882276</v>
      </c>
      <c r="I41" s="20">
        <f t="shared" si="4"/>
        <v>358936.11907911306</v>
      </c>
      <c r="J41" s="73"/>
      <c r="K41" s="22">
        <f t="shared" si="9"/>
        <v>7363.8809208869097</v>
      </c>
      <c r="L41" s="22">
        <f t="shared" si="10"/>
        <v>44904.045289159083</v>
      </c>
      <c r="N41" s="23"/>
      <c r="O41" s="24"/>
      <c r="P41" s="23"/>
      <c r="Q41" s="23"/>
      <c r="R41" s="23"/>
      <c r="S41" s="23"/>
      <c r="AE41" s="1" t="s">
        <v>70</v>
      </c>
      <c r="AF41" s="1" t="s">
        <v>64</v>
      </c>
      <c r="AG41" s="1" t="s">
        <v>65</v>
      </c>
    </row>
    <row r="42" spans="1:33" ht="14.25" customHeight="1" x14ac:dyDescent="0.2">
      <c r="A42" s="15">
        <f t="shared" si="5"/>
        <v>23</v>
      </c>
      <c r="B42" s="16">
        <f t="shared" si="0"/>
        <v>45597</v>
      </c>
      <c r="C42" s="20">
        <f t="shared" si="6"/>
        <v>358936.11907911306</v>
      </c>
      <c r="D42" s="20">
        <f t="shared" si="1"/>
        <v>2375.8148277293635</v>
      </c>
      <c r="E42" s="59">
        <f t="shared" si="7"/>
        <v>0</v>
      </c>
      <c r="F42" s="20">
        <f t="shared" si="2"/>
        <v>2375.8148277293635</v>
      </c>
      <c r="G42" s="20">
        <f t="shared" si="3"/>
        <v>356.79915790935252</v>
      </c>
      <c r="H42" s="20">
        <f t="shared" si="8"/>
        <v>2019.015669820011</v>
      </c>
      <c r="I42" s="20">
        <f t="shared" si="4"/>
        <v>358579.31992120371</v>
      </c>
      <c r="J42" s="73"/>
      <c r="K42" s="22">
        <f t="shared" si="9"/>
        <v>7720.680078796262</v>
      </c>
      <c r="L42" s="22">
        <f t="shared" si="10"/>
        <v>46923.060958979091</v>
      </c>
      <c r="N42" s="23"/>
      <c r="O42" s="24"/>
      <c r="P42" s="23"/>
      <c r="Q42" s="23"/>
      <c r="R42" s="23"/>
      <c r="S42" s="23"/>
      <c r="AE42" s="1">
        <v>95</v>
      </c>
      <c r="AF42" s="159">
        <v>1.7500000000000002E-2</v>
      </c>
      <c r="AG42" s="1">
        <v>0.85</v>
      </c>
    </row>
    <row r="43" spans="1:33" ht="14.25" customHeight="1" x14ac:dyDescent="0.25">
      <c r="A43" s="15">
        <f t="shared" si="5"/>
        <v>24</v>
      </c>
      <c r="B43" s="16">
        <f t="shared" si="0"/>
        <v>45627</v>
      </c>
      <c r="C43" s="20">
        <f t="shared" si="6"/>
        <v>358579.31992120371</v>
      </c>
      <c r="D43" s="20">
        <f t="shared" si="1"/>
        <v>2375.8148277293635</v>
      </c>
      <c r="E43" s="59">
        <f t="shared" si="7"/>
        <v>0</v>
      </c>
      <c r="F43" s="20">
        <f t="shared" si="2"/>
        <v>2375.8148277293635</v>
      </c>
      <c r="G43" s="20">
        <f t="shared" si="3"/>
        <v>358.8061531725923</v>
      </c>
      <c r="H43" s="20">
        <f t="shared" si="8"/>
        <v>2017.0086745567712</v>
      </c>
      <c r="I43" s="20">
        <f t="shared" si="4"/>
        <v>358220.51376803115</v>
      </c>
      <c r="J43" s="73"/>
      <c r="K43" s="22">
        <f t="shared" si="9"/>
        <v>8079.4862319688546</v>
      </c>
      <c r="L43" s="22">
        <f t="shared" si="10"/>
        <v>48940.069633535859</v>
      </c>
      <c r="N43" s="23"/>
      <c r="O43" s="111" t="s">
        <v>78</v>
      </c>
      <c r="P43" s="110" t="s">
        <v>79</v>
      </c>
      <c r="Q43" s="110" t="s">
        <v>80</v>
      </c>
      <c r="R43" s="112" t="s">
        <v>78</v>
      </c>
      <c r="S43" s="23"/>
      <c r="AE43" s="1">
        <v>90</v>
      </c>
      <c r="AF43" s="159">
        <v>1.7500000000000002E-2</v>
      </c>
      <c r="AG43" s="1">
        <v>0.8</v>
      </c>
    </row>
    <row r="44" spans="1:33" ht="14.25" customHeight="1" x14ac:dyDescent="0.25">
      <c r="A44" s="15">
        <f t="shared" si="5"/>
        <v>25</v>
      </c>
      <c r="B44" s="16">
        <f t="shared" si="0"/>
        <v>45658</v>
      </c>
      <c r="C44" s="20">
        <f t="shared" si="6"/>
        <v>358220.51376803115</v>
      </c>
      <c r="D44" s="20">
        <f t="shared" si="1"/>
        <v>2375.8148277293635</v>
      </c>
      <c r="E44" s="59">
        <f t="shared" si="7"/>
        <v>0</v>
      </c>
      <c r="F44" s="20">
        <f t="shared" si="2"/>
        <v>2375.8148277293635</v>
      </c>
      <c r="G44" s="20">
        <f t="shared" si="3"/>
        <v>360.82443778418815</v>
      </c>
      <c r="H44" s="20">
        <f t="shared" si="8"/>
        <v>2014.9903899451754</v>
      </c>
      <c r="I44" s="20">
        <f t="shared" si="4"/>
        <v>357859.68933024694</v>
      </c>
      <c r="J44" s="73"/>
      <c r="K44" s="22">
        <f t="shared" si="9"/>
        <v>8440.310669753042</v>
      </c>
      <c r="L44" s="22">
        <f t="shared" si="10"/>
        <v>50955.060023481034</v>
      </c>
      <c r="N44" s="23"/>
      <c r="O44" s="152">
        <f>R44</f>
        <v>0</v>
      </c>
      <c r="P44" s="78"/>
      <c r="Q44" s="99"/>
      <c r="R44" s="98"/>
      <c r="S44" s="23"/>
    </row>
    <row r="45" spans="1:33" ht="14.25" customHeight="1" x14ac:dyDescent="0.25">
      <c r="A45" s="15">
        <f t="shared" si="5"/>
        <v>26</v>
      </c>
      <c r="B45" s="16">
        <f t="shared" si="0"/>
        <v>45689</v>
      </c>
      <c r="C45" s="20">
        <f t="shared" si="6"/>
        <v>357859.68933024694</v>
      </c>
      <c r="D45" s="20">
        <f t="shared" si="1"/>
        <v>2375.8148277293635</v>
      </c>
      <c r="E45" s="59">
        <f t="shared" si="7"/>
        <v>0</v>
      </c>
      <c r="F45" s="20">
        <f t="shared" si="2"/>
        <v>2375.8148277293635</v>
      </c>
      <c r="G45" s="20">
        <f t="shared" si="3"/>
        <v>362.85407524672451</v>
      </c>
      <c r="H45" s="20">
        <f t="shared" si="8"/>
        <v>2012.960752482639</v>
      </c>
      <c r="I45" s="20">
        <f t="shared" si="4"/>
        <v>357496.83525500022</v>
      </c>
      <c r="J45" s="73"/>
      <c r="K45" s="22">
        <f t="shared" si="9"/>
        <v>8803.1647449997672</v>
      </c>
      <c r="L45" s="22">
        <f t="shared" si="10"/>
        <v>52968.020775963676</v>
      </c>
      <c r="N45" s="23"/>
      <c r="O45" s="152">
        <f t="shared" ref="O45:O48" si="14">R45</f>
        <v>0</v>
      </c>
      <c r="P45" s="79"/>
      <c r="Q45" s="100"/>
      <c r="R45" s="98"/>
      <c r="S45" s="23"/>
      <c r="AE45" s="1" t="s">
        <v>81</v>
      </c>
    </row>
    <row r="46" spans="1:33" ht="14.25" customHeight="1" x14ac:dyDescent="0.25">
      <c r="A46" s="15">
        <f t="shared" si="5"/>
        <v>27</v>
      </c>
      <c r="B46" s="16">
        <f t="shared" si="0"/>
        <v>45717</v>
      </c>
      <c r="C46" s="20">
        <f t="shared" si="6"/>
        <v>357496.83525500022</v>
      </c>
      <c r="D46" s="20">
        <f t="shared" si="1"/>
        <v>2375.8148277293635</v>
      </c>
      <c r="E46" s="59">
        <f t="shared" si="7"/>
        <v>0</v>
      </c>
      <c r="F46" s="20">
        <f t="shared" si="2"/>
        <v>2375.8148277293635</v>
      </c>
      <c r="G46" s="20">
        <f t="shared" si="3"/>
        <v>364.89512941998714</v>
      </c>
      <c r="H46" s="20">
        <f t="shared" si="8"/>
        <v>2010.9196983093764</v>
      </c>
      <c r="I46" s="20">
        <f t="shared" si="4"/>
        <v>357131.94012558024</v>
      </c>
      <c r="J46" s="73"/>
      <c r="K46" s="22">
        <f t="shared" si="9"/>
        <v>9168.0598744197541</v>
      </c>
      <c r="L46" s="22">
        <f t="shared" si="10"/>
        <v>54978.940474273055</v>
      </c>
      <c r="N46" s="23"/>
      <c r="O46" s="152">
        <f t="shared" si="14"/>
        <v>0</v>
      </c>
      <c r="P46" s="79"/>
      <c r="Q46" s="100"/>
      <c r="R46" s="98"/>
      <c r="S46" s="23"/>
      <c r="AE46" s="1">
        <v>90.001000000000005</v>
      </c>
      <c r="AF46" s="159">
        <v>1.7500000000000002E-2</v>
      </c>
      <c r="AG46" s="1">
        <v>0.7</v>
      </c>
    </row>
    <row r="47" spans="1:33" ht="14.25" customHeight="1" x14ac:dyDescent="0.25">
      <c r="A47" s="15">
        <f t="shared" si="5"/>
        <v>28</v>
      </c>
      <c r="B47" s="16">
        <f t="shared" si="0"/>
        <v>45748</v>
      </c>
      <c r="C47" s="20">
        <f t="shared" si="6"/>
        <v>357131.94012558024</v>
      </c>
      <c r="D47" s="20">
        <f t="shared" si="1"/>
        <v>2375.8148277293635</v>
      </c>
      <c r="E47" s="59">
        <f t="shared" si="7"/>
        <v>0</v>
      </c>
      <c r="F47" s="20">
        <f t="shared" si="2"/>
        <v>2375.8148277293635</v>
      </c>
      <c r="G47" s="20">
        <f t="shared" si="3"/>
        <v>366.94766452297449</v>
      </c>
      <c r="H47" s="20">
        <f t="shared" si="8"/>
        <v>2008.867163206389</v>
      </c>
      <c r="I47" s="20">
        <f t="shared" si="4"/>
        <v>356764.99246105726</v>
      </c>
      <c r="J47" s="73"/>
      <c r="K47" s="22">
        <f t="shared" si="9"/>
        <v>9535.0075389427293</v>
      </c>
      <c r="L47" s="22">
        <f t="shared" si="10"/>
        <v>56987.807637479447</v>
      </c>
      <c r="N47" s="23"/>
      <c r="O47" s="152">
        <f t="shared" si="14"/>
        <v>0</v>
      </c>
      <c r="P47" s="79"/>
      <c r="Q47" s="100"/>
      <c r="R47" s="98"/>
      <c r="S47" s="23"/>
      <c r="AE47" s="1">
        <v>90</v>
      </c>
      <c r="AG47" s="1">
        <v>0.45</v>
      </c>
    </row>
    <row r="48" spans="1:33" ht="14.25" customHeight="1" x14ac:dyDescent="0.25">
      <c r="A48" s="15">
        <f t="shared" si="5"/>
        <v>29</v>
      </c>
      <c r="B48" s="16">
        <f t="shared" si="0"/>
        <v>45778</v>
      </c>
      <c r="C48" s="20">
        <f t="shared" si="6"/>
        <v>356764.99246105726</v>
      </c>
      <c r="D48" s="20">
        <f t="shared" si="1"/>
        <v>2375.8148277293635</v>
      </c>
      <c r="E48" s="59">
        <f t="shared" si="7"/>
        <v>0</v>
      </c>
      <c r="F48" s="20">
        <f t="shared" si="2"/>
        <v>2375.8148277293635</v>
      </c>
      <c r="G48" s="20">
        <f t="shared" si="3"/>
        <v>369.01174513591627</v>
      </c>
      <c r="H48" s="20">
        <f t="shared" si="8"/>
        <v>2006.8030825934472</v>
      </c>
      <c r="I48" s="20">
        <f t="shared" si="4"/>
        <v>356395.98071592132</v>
      </c>
      <c r="J48" s="73"/>
      <c r="K48" s="22">
        <f t="shared" si="9"/>
        <v>9904.0192840786458</v>
      </c>
      <c r="L48" s="22">
        <f t="shared" si="10"/>
        <v>58994.610720072895</v>
      </c>
      <c r="N48" s="23"/>
      <c r="O48" s="152">
        <f t="shared" si="14"/>
        <v>0</v>
      </c>
      <c r="P48" s="86"/>
      <c r="Q48" s="100"/>
      <c r="R48" s="98"/>
      <c r="S48" s="23"/>
    </row>
    <row r="49" spans="1:34" ht="14.25" customHeight="1" x14ac:dyDescent="0.25">
      <c r="A49" s="15">
        <f t="shared" si="5"/>
        <v>30</v>
      </c>
      <c r="B49" s="16">
        <f t="shared" si="0"/>
        <v>45809</v>
      </c>
      <c r="C49" s="20">
        <f t="shared" si="6"/>
        <v>356395.98071592132</v>
      </c>
      <c r="D49" s="20">
        <f t="shared" si="1"/>
        <v>2375.8148277293635</v>
      </c>
      <c r="E49" s="59">
        <f t="shared" si="7"/>
        <v>0</v>
      </c>
      <c r="F49" s="20">
        <f t="shared" si="2"/>
        <v>2375.8148277293635</v>
      </c>
      <c r="G49" s="20">
        <f t="shared" si="3"/>
        <v>371.08743620230575</v>
      </c>
      <c r="H49" s="20">
        <f t="shared" si="8"/>
        <v>2004.7273915270578</v>
      </c>
      <c r="I49" s="20">
        <f t="shared" si="4"/>
        <v>356024.89327971899</v>
      </c>
      <c r="J49" s="73"/>
      <c r="K49" s="22">
        <f t="shared" si="9"/>
        <v>10275.106720280952</v>
      </c>
      <c r="L49" s="22">
        <f t="shared" si="10"/>
        <v>60999.338111599951</v>
      </c>
      <c r="N49" s="23"/>
      <c r="O49" s="152">
        <f>R49</f>
        <v>0</v>
      </c>
      <c r="P49" s="79"/>
      <c r="Q49" s="100"/>
      <c r="R49" s="98"/>
      <c r="S49" s="23"/>
    </row>
    <row r="50" spans="1:34" ht="14.25" customHeight="1" x14ac:dyDescent="0.25">
      <c r="A50" s="15">
        <f t="shared" si="5"/>
        <v>31</v>
      </c>
      <c r="B50" s="16">
        <f t="shared" si="0"/>
        <v>45839</v>
      </c>
      <c r="C50" s="20">
        <f t="shared" si="6"/>
        <v>356024.89327971899</v>
      </c>
      <c r="D50" s="20">
        <f t="shared" si="1"/>
        <v>2375.8148277293635</v>
      </c>
      <c r="E50" s="59">
        <f t="shared" si="7"/>
        <v>0</v>
      </c>
      <c r="F50" s="20">
        <f t="shared" si="2"/>
        <v>2375.8148277293635</v>
      </c>
      <c r="G50" s="20">
        <f t="shared" si="3"/>
        <v>373.17480303094408</v>
      </c>
      <c r="H50" s="20">
        <f t="shared" si="8"/>
        <v>2002.6400246984194</v>
      </c>
      <c r="I50" s="20">
        <f t="shared" si="4"/>
        <v>355651.71847668802</v>
      </c>
      <c r="J50" s="73"/>
      <c r="K50" s="22">
        <f t="shared" si="9"/>
        <v>10648.281523311896</v>
      </c>
      <c r="L50" s="22">
        <f t="shared" si="10"/>
        <v>63001.97813629837</v>
      </c>
      <c r="N50" s="23"/>
      <c r="O50" s="152">
        <f>R50</f>
        <v>0</v>
      </c>
      <c r="P50" s="97"/>
      <c r="Q50" s="101"/>
      <c r="R50" s="98"/>
      <c r="S50" s="23"/>
    </row>
    <row r="51" spans="1:34" ht="14.25" customHeight="1" x14ac:dyDescent="0.25">
      <c r="A51" s="15">
        <f t="shared" si="5"/>
        <v>32</v>
      </c>
      <c r="B51" s="16">
        <f t="shared" si="0"/>
        <v>45870</v>
      </c>
      <c r="C51" s="20">
        <f t="shared" si="6"/>
        <v>355651.71847668802</v>
      </c>
      <c r="D51" s="20">
        <f t="shared" si="1"/>
        <v>2375.8148277293635</v>
      </c>
      <c r="E51" s="59">
        <f t="shared" si="7"/>
        <v>0</v>
      </c>
      <c r="F51" s="20">
        <f t="shared" si="2"/>
        <v>2375.8148277293635</v>
      </c>
      <c r="G51" s="20">
        <f t="shared" si="3"/>
        <v>375.27391129799321</v>
      </c>
      <c r="H51" s="20">
        <f t="shared" si="8"/>
        <v>2000.5409164313703</v>
      </c>
      <c r="I51" s="20">
        <f t="shared" si="4"/>
        <v>355276.44456539</v>
      </c>
      <c r="J51" s="73"/>
      <c r="K51" s="22">
        <f t="shared" si="9"/>
        <v>11023.555434609889</v>
      </c>
      <c r="L51" s="22">
        <f t="shared" si="10"/>
        <v>65002.519052729738</v>
      </c>
      <c r="N51" s="105"/>
      <c r="O51" s="132">
        <f>SUM(O44:O50)</f>
        <v>0</v>
      </c>
      <c r="P51" s="130" t="s">
        <v>82</v>
      </c>
      <c r="Q51" s="103">
        <f>SUM(Q44:Q50)</f>
        <v>0</v>
      </c>
      <c r="R51" s="104">
        <f>SUM(R44:R50)</f>
        <v>0</v>
      </c>
      <c r="S51" s="102"/>
    </row>
    <row r="52" spans="1:34" ht="14.25" customHeight="1" x14ac:dyDescent="0.2">
      <c r="A52" s="15">
        <f t="shared" si="5"/>
        <v>33</v>
      </c>
      <c r="B52" s="16">
        <f t="shared" si="0"/>
        <v>45901</v>
      </c>
      <c r="C52" s="20">
        <f t="shared" si="6"/>
        <v>355276.44456539</v>
      </c>
      <c r="D52" s="20">
        <f t="shared" si="1"/>
        <v>2375.8148277293635</v>
      </c>
      <c r="E52" s="59">
        <f t="shared" si="7"/>
        <v>0</v>
      </c>
      <c r="F52" s="20">
        <f t="shared" si="2"/>
        <v>2375.8148277293635</v>
      </c>
      <c r="G52" s="20">
        <f t="shared" si="3"/>
        <v>377.38482704904459</v>
      </c>
      <c r="H52" s="20">
        <f t="shared" si="8"/>
        <v>1998.4300006803189</v>
      </c>
      <c r="I52" s="20">
        <f t="shared" si="4"/>
        <v>354899.05973834096</v>
      </c>
      <c r="J52" s="73"/>
      <c r="K52" s="22">
        <f t="shared" si="9"/>
        <v>11400.940261658934</v>
      </c>
      <c r="L52" s="22">
        <f t="shared" si="10"/>
        <v>67000.949053410062</v>
      </c>
      <c r="N52" s="23"/>
      <c r="O52" s="25"/>
      <c r="P52" s="23"/>
      <c r="Q52" s="23"/>
      <c r="R52" s="23"/>
      <c r="S52" s="23"/>
    </row>
    <row r="53" spans="1:34" ht="14.25" customHeight="1" x14ac:dyDescent="0.2">
      <c r="A53" s="15">
        <f t="shared" si="5"/>
        <v>34</v>
      </c>
      <c r="B53" s="16">
        <f t="shared" si="0"/>
        <v>45931</v>
      </c>
      <c r="C53" s="20">
        <f t="shared" si="6"/>
        <v>354899.05973834096</v>
      </c>
      <c r="D53" s="20">
        <f t="shared" si="1"/>
        <v>2375.8148277293635</v>
      </c>
      <c r="E53" s="59">
        <f t="shared" si="7"/>
        <v>0</v>
      </c>
      <c r="F53" s="20">
        <f t="shared" si="2"/>
        <v>2375.8148277293635</v>
      </c>
      <c r="G53" s="20">
        <f t="shared" si="3"/>
        <v>379.5076167011955</v>
      </c>
      <c r="H53" s="20">
        <f t="shared" si="8"/>
        <v>1996.307211028168</v>
      </c>
      <c r="I53" s="20">
        <f t="shared" si="4"/>
        <v>354519.55212163978</v>
      </c>
      <c r="J53" s="73"/>
      <c r="K53" s="22">
        <f t="shared" si="9"/>
        <v>11780.44787836013</v>
      </c>
      <c r="L53" s="22">
        <f t="shared" si="10"/>
        <v>68997.256264438227</v>
      </c>
      <c r="O53" s="26"/>
    </row>
    <row r="54" spans="1:34" ht="14.25" customHeight="1" x14ac:dyDescent="0.2">
      <c r="A54" s="15">
        <f t="shared" si="5"/>
        <v>35</v>
      </c>
      <c r="B54" s="16">
        <f t="shared" si="0"/>
        <v>45962</v>
      </c>
      <c r="C54" s="20">
        <f t="shared" si="6"/>
        <v>354519.55212163978</v>
      </c>
      <c r="D54" s="20">
        <f t="shared" si="1"/>
        <v>2375.8148277293635</v>
      </c>
      <c r="E54" s="59">
        <f t="shared" si="7"/>
        <v>0</v>
      </c>
      <c r="F54" s="20">
        <f t="shared" si="2"/>
        <v>2375.8148277293635</v>
      </c>
      <c r="G54" s="20">
        <f t="shared" si="3"/>
        <v>381.64234704513956</v>
      </c>
      <c r="H54" s="20">
        <f t="shared" si="8"/>
        <v>1994.172480684224</v>
      </c>
      <c r="I54" s="20">
        <f t="shared" si="4"/>
        <v>354137.90977459465</v>
      </c>
      <c r="J54" s="73"/>
      <c r="K54" s="22">
        <f t="shared" si="9"/>
        <v>12162.090225405269</v>
      </c>
      <c r="L54" s="22">
        <f t="shared" si="10"/>
        <v>70991.428745122452</v>
      </c>
      <c r="O54" s="26"/>
    </row>
    <row r="55" spans="1:34" ht="14.25" customHeight="1" x14ac:dyDescent="0.2">
      <c r="A55" s="15">
        <f t="shared" si="5"/>
        <v>36</v>
      </c>
      <c r="B55" s="16">
        <f t="shared" si="0"/>
        <v>45992</v>
      </c>
      <c r="C55" s="20">
        <f t="shared" si="6"/>
        <v>354137.90977459465</v>
      </c>
      <c r="D55" s="20">
        <f t="shared" si="1"/>
        <v>2375.8148277293635</v>
      </c>
      <c r="E55" s="59">
        <f t="shared" si="7"/>
        <v>0</v>
      </c>
      <c r="F55" s="20">
        <f t="shared" si="2"/>
        <v>2375.8148277293635</v>
      </c>
      <c r="G55" s="20">
        <f t="shared" si="3"/>
        <v>383.78908524726853</v>
      </c>
      <c r="H55" s="20">
        <f t="shared" si="8"/>
        <v>1992.025742482095</v>
      </c>
      <c r="I55" s="20">
        <f t="shared" si="4"/>
        <v>353754.12068934739</v>
      </c>
      <c r="J55" s="73"/>
      <c r="K55" s="22">
        <f t="shared" si="9"/>
        <v>12545.879310652537</v>
      </c>
      <c r="L55" s="22">
        <f t="shared" si="10"/>
        <v>72983.45448760454</v>
      </c>
    </row>
    <row r="56" spans="1:34" ht="14.25" customHeight="1" x14ac:dyDescent="0.2">
      <c r="A56" s="15">
        <f t="shared" si="5"/>
        <v>37</v>
      </c>
      <c r="B56" s="16">
        <f t="shared" si="0"/>
        <v>46023</v>
      </c>
      <c r="C56" s="20">
        <f t="shared" si="6"/>
        <v>353754.12068934739</v>
      </c>
      <c r="D56" s="20">
        <f t="shared" si="1"/>
        <v>2375.8148277293635</v>
      </c>
      <c r="E56" s="59">
        <f t="shared" si="7"/>
        <v>0</v>
      </c>
      <c r="F56" s="20">
        <f t="shared" si="2"/>
        <v>2375.8148277293635</v>
      </c>
      <c r="G56" s="20">
        <f t="shared" si="3"/>
        <v>385.94789885178443</v>
      </c>
      <c r="H56" s="20">
        <f t="shared" si="8"/>
        <v>1989.8669288775791</v>
      </c>
      <c r="I56" s="20">
        <f t="shared" si="4"/>
        <v>353368.17279049562</v>
      </c>
      <c r="J56" s="73"/>
      <c r="K56" s="22">
        <f t="shared" si="9"/>
        <v>12931.827209504321</v>
      </c>
      <c r="L56" s="22">
        <f t="shared" si="10"/>
        <v>74973.321416482126</v>
      </c>
      <c r="O56" s="26"/>
    </row>
    <row r="57" spans="1:34" ht="14.25" customHeight="1" x14ac:dyDescent="0.2">
      <c r="A57" s="15">
        <f t="shared" si="5"/>
        <v>38</v>
      </c>
      <c r="B57" s="16">
        <f t="shared" si="0"/>
        <v>46054</v>
      </c>
      <c r="C57" s="20">
        <f t="shared" si="6"/>
        <v>353368.17279049562</v>
      </c>
      <c r="D57" s="20">
        <f t="shared" si="1"/>
        <v>2375.8148277293635</v>
      </c>
      <c r="E57" s="59">
        <f t="shared" si="7"/>
        <v>0</v>
      </c>
      <c r="F57" s="20">
        <f t="shared" si="2"/>
        <v>2375.8148277293635</v>
      </c>
      <c r="G57" s="20">
        <f t="shared" si="3"/>
        <v>388.11885578282568</v>
      </c>
      <c r="H57" s="20">
        <f t="shared" si="8"/>
        <v>1987.6959719465378</v>
      </c>
      <c r="I57" s="20">
        <f t="shared" si="4"/>
        <v>352980.05393471278</v>
      </c>
      <c r="J57" s="73"/>
      <c r="K57" s="22">
        <f t="shared" si="9"/>
        <v>13319.946065287148</v>
      </c>
      <c r="L57" s="22">
        <f t="shared" si="10"/>
        <v>76961.017388428663</v>
      </c>
      <c r="O57" s="26"/>
    </row>
    <row r="58" spans="1:34" ht="14.25" customHeight="1" x14ac:dyDescent="0.2">
      <c r="A58" s="15">
        <f t="shared" si="5"/>
        <v>39</v>
      </c>
      <c r="B58" s="16">
        <f t="shared" si="0"/>
        <v>46082</v>
      </c>
      <c r="C58" s="20">
        <f t="shared" si="6"/>
        <v>352980.05393471278</v>
      </c>
      <c r="D58" s="20">
        <f t="shared" si="1"/>
        <v>2375.8148277293635</v>
      </c>
      <c r="E58" s="59">
        <f t="shared" si="7"/>
        <v>0</v>
      </c>
      <c r="F58" s="20">
        <f t="shared" si="2"/>
        <v>2375.8148277293635</v>
      </c>
      <c r="G58" s="20">
        <f t="shared" si="3"/>
        <v>390.30202434660396</v>
      </c>
      <c r="H58" s="20">
        <f t="shared" si="8"/>
        <v>1985.5128033827596</v>
      </c>
      <c r="I58" s="20">
        <f t="shared" si="4"/>
        <v>352589.75191036618</v>
      </c>
      <c r="J58" s="73"/>
      <c r="K58" s="22">
        <f t="shared" si="9"/>
        <v>13710.248089633751</v>
      </c>
      <c r="L58" s="22">
        <f t="shared" si="10"/>
        <v>78946.530191811427</v>
      </c>
      <c r="AF58" s="68" t="str">
        <f>_xlfn.XLOOKUP(1,AG59:AG61,AF59:AF61,"No Error")</f>
        <v>No Error</v>
      </c>
      <c r="AG58" s="1">
        <f>MAX(AG59:AG61)</f>
        <v>0</v>
      </c>
    </row>
    <row r="59" spans="1:34" ht="14.25" customHeight="1" x14ac:dyDescent="0.2">
      <c r="A59" s="15">
        <f t="shared" si="5"/>
        <v>40</v>
      </c>
      <c r="B59" s="16">
        <f t="shared" si="0"/>
        <v>46113</v>
      </c>
      <c r="C59" s="20">
        <f t="shared" si="6"/>
        <v>352589.75191036618</v>
      </c>
      <c r="D59" s="20">
        <f t="shared" si="1"/>
        <v>2375.8148277293635</v>
      </c>
      <c r="E59" s="59">
        <f t="shared" si="7"/>
        <v>0</v>
      </c>
      <c r="F59" s="20">
        <f t="shared" si="2"/>
        <v>2375.8148277293635</v>
      </c>
      <c r="G59" s="20">
        <f t="shared" si="3"/>
        <v>392.49747323355359</v>
      </c>
      <c r="H59" s="20">
        <f t="shared" si="8"/>
        <v>1983.3173544958099</v>
      </c>
      <c r="I59" s="20">
        <f t="shared" si="4"/>
        <v>352197.25443713262</v>
      </c>
      <c r="J59" s="73"/>
      <c r="K59" s="22">
        <f t="shared" si="9"/>
        <v>14102.745562867305</v>
      </c>
      <c r="L59" s="22">
        <f t="shared" si="10"/>
        <v>80929.847546307239</v>
      </c>
      <c r="AE59" s="1" t="s">
        <v>8</v>
      </c>
      <c r="AF59" s="1" t="str">
        <f>IF(AND(Program&lt;&gt;"Conventional",Occupancy&lt;&gt;"Homestead"),AH59,"No Error")</f>
        <v>No Error</v>
      </c>
      <c r="AG59" s="1">
        <f>IF(AF59="No Error",0,1)</f>
        <v>0</v>
      </c>
      <c r="AH59" s="1" t="s">
        <v>83</v>
      </c>
    </row>
    <row r="60" spans="1:34" ht="14.25" customHeight="1" x14ac:dyDescent="0.2">
      <c r="A60" s="15">
        <f t="shared" si="5"/>
        <v>41</v>
      </c>
      <c r="B60" s="16">
        <f t="shared" si="0"/>
        <v>46143</v>
      </c>
      <c r="C60" s="20">
        <f t="shared" si="6"/>
        <v>352197.25443713262</v>
      </c>
      <c r="D60" s="20">
        <f t="shared" si="1"/>
        <v>2375.8148277293635</v>
      </c>
      <c r="E60" s="59">
        <f t="shared" si="7"/>
        <v>0</v>
      </c>
      <c r="F60" s="20">
        <f t="shared" si="2"/>
        <v>2375.8148277293635</v>
      </c>
      <c r="G60" s="20">
        <f t="shared" si="3"/>
        <v>394.70527152049226</v>
      </c>
      <c r="H60" s="20">
        <f t="shared" si="8"/>
        <v>1981.1095562088713</v>
      </c>
      <c r="I60" s="20">
        <f t="shared" si="4"/>
        <v>351802.54916561214</v>
      </c>
      <c r="J60" s="73"/>
      <c r="K60" s="22">
        <f t="shared" si="9"/>
        <v>14497.450834387797</v>
      </c>
      <c r="L60" s="22">
        <f t="shared" si="10"/>
        <v>82910.957102516113</v>
      </c>
      <c r="AE60" s="1" t="s">
        <v>84</v>
      </c>
      <c r="AF60" s="1" t="str">
        <f>IF(AND(Program="Conventional",DownPayment&lt;0.03),AH60,"No Error")</f>
        <v>No Error</v>
      </c>
      <c r="AG60" s="1">
        <f>IF(AF60="No Error",0,1)</f>
        <v>0</v>
      </c>
      <c r="AH60" s="1" t="s">
        <v>85</v>
      </c>
    </row>
    <row r="61" spans="1:34" ht="14.25" customHeight="1" x14ac:dyDescent="0.2">
      <c r="A61" s="15">
        <f t="shared" si="5"/>
        <v>42</v>
      </c>
      <c r="B61" s="16">
        <f t="shared" si="0"/>
        <v>46174</v>
      </c>
      <c r="C61" s="20">
        <f t="shared" si="6"/>
        <v>351802.54916561214</v>
      </c>
      <c r="D61" s="20">
        <f t="shared" si="1"/>
        <v>2375.8148277293635</v>
      </c>
      <c r="E61" s="59">
        <f t="shared" si="7"/>
        <v>0</v>
      </c>
      <c r="F61" s="20">
        <f t="shared" si="2"/>
        <v>2375.8148277293635</v>
      </c>
      <c r="G61" s="20">
        <f t="shared" si="3"/>
        <v>396.92548867279515</v>
      </c>
      <c r="H61" s="20">
        <f t="shared" si="8"/>
        <v>1978.8893390565684</v>
      </c>
      <c r="I61" s="20">
        <f t="shared" si="4"/>
        <v>351405.62367693934</v>
      </c>
      <c r="J61" s="73"/>
      <c r="K61" s="22">
        <f t="shared" si="9"/>
        <v>14894.376323060593</v>
      </c>
      <c r="L61" s="22">
        <f t="shared" si="10"/>
        <v>84889.846441572678</v>
      </c>
      <c r="AE61" s="1" t="s">
        <v>86</v>
      </c>
      <c r="AF61" s="1" t="str">
        <f>IF(AND(Program="FHA",DownPayment&lt;0.035),AH61,"No Error")</f>
        <v>No Error</v>
      </c>
      <c r="AG61" s="1">
        <f>IF(AF61="No Error",0,1)</f>
        <v>0</v>
      </c>
      <c r="AH61" s="1" t="s">
        <v>87</v>
      </c>
    </row>
    <row r="62" spans="1:34" ht="14.25" customHeight="1" x14ac:dyDescent="0.2">
      <c r="A62" s="15">
        <f t="shared" si="5"/>
        <v>43</v>
      </c>
      <c r="B62" s="16">
        <f t="shared" si="0"/>
        <v>46204</v>
      </c>
      <c r="C62" s="20">
        <f t="shared" si="6"/>
        <v>351405.62367693934</v>
      </c>
      <c r="D62" s="20">
        <f t="shared" si="1"/>
        <v>2375.8148277293635</v>
      </c>
      <c r="E62" s="59">
        <f t="shared" si="7"/>
        <v>0</v>
      </c>
      <c r="F62" s="20">
        <f t="shared" si="2"/>
        <v>2375.8148277293635</v>
      </c>
      <c r="G62" s="20">
        <f t="shared" si="3"/>
        <v>399.15819454657935</v>
      </c>
      <c r="H62" s="20">
        <f t="shared" si="8"/>
        <v>1976.6566331827842</v>
      </c>
      <c r="I62" s="20">
        <f t="shared" si="4"/>
        <v>351006.46548239276</v>
      </c>
      <c r="J62" s="73"/>
      <c r="K62" s="22">
        <f t="shared" si="9"/>
        <v>15293.534517607171</v>
      </c>
      <c r="L62" s="22">
        <f t="shared" si="10"/>
        <v>86866.503074755456</v>
      </c>
    </row>
    <row r="63" spans="1:34" ht="14.25" customHeight="1" x14ac:dyDescent="0.2">
      <c r="A63" s="15">
        <f t="shared" si="5"/>
        <v>44</v>
      </c>
      <c r="B63" s="16">
        <f t="shared" si="0"/>
        <v>46235</v>
      </c>
      <c r="C63" s="20">
        <f t="shared" si="6"/>
        <v>351006.46548239276</v>
      </c>
      <c r="D63" s="20">
        <f t="shared" si="1"/>
        <v>2375.8148277293635</v>
      </c>
      <c r="E63" s="59">
        <f t="shared" si="7"/>
        <v>0</v>
      </c>
      <c r="F63" s="20">
        <f t="shared" si="2"/>
        <v>2375.8148277293635</v>
      </c>
      <c r="G63" s="20">
        <f t="shared" si="3"/>
        <v>401.40345939090412</v>
      </c>
      <c r="H63" s="20">
        <f t="shared" si="8"/>
        <v>1974.4113683384594</v>
      </c>
      <c r="I63" s="20">
        <f t="shared" si="4"/>
        <v>350605.06202300184</v>
      </c>
      <c r="J63" s="73"/>
      <c r="K63" s="22">
        <f t="shared" si="9"/>
        <v>15694.937976998075</v>
      </c>
      <c r="L63" s="22">
        <f t="shared" si="10"/>
        <v>88840.91444309392</v>
      </c>
    </row>
    <row r="64" spans="1:34" ht="14.25" customHeight="1" x14ac:dyDescent="0.2">
      <c r="A64" s="15">
        <f t="shared" si="5"/>
        <v>45</v>
      </c>
      <c r="B64" s="16">
        <f t="shared" si="0"/>
        <v>46266</v>
      </c>
      <c r="C64" s="20">
        <f t="shared" si="6"/>
        <v>350605.06202300184</v>
      </c>
      <c r="D64" s="20">
        <f t="shared" si="1"/>
        <v>2375.8148277293635</v>
      </c>
      <c r="E64" s="59">
        <f t="shared" si="7"/>
        <v>0</v>
      </c>
      <c r="F64" s="20">
        <f t="shared" si="2"/>
        <v>2375.8148277293635</v>
      </c>
      <c r="G64" s="20">
        <f t="shared" si="3"/>
        <v>403.66135384997801</v>
      </c>
      <c r="H64" s="20">
        <f t="shared" si="8"/>
        <v>1972.1534738793855</v>
      </c>
      <c r="I64" s="20">
        <f t="shared" si="4"/>
        <v>350201.40066915186</v>
      </c>
      <c r="J64" s="73"/>
      <c r="K64" s="22">
        <f t="shared" si="9"/>
        <v>16098.599330848054</v>
      </c>
      <c r="L64" s="22">
        <f t="shared" si="10"/>
        <v>90813.067916973305</v>
      </c>
    </row>
    <row r="65" spans="1:32" ht="14.25" customHeight="1" x14ac:dyDescent="0.2">
      <c r="A65" s="15">
        <f t="shared" si="5"/>
        <v>46</v>
      </c>
      <c r="B65" s="16">
        <f t="shared" si="0"/>
        <v>46296</v>
      </c>
      <c r="C65" s="20">
        <f t="shared" si="6"/>
        <v>350201.40066915186</v>
      </c>
      <c r="D65" s="20">
        <f t="shared" si="1"/>
        <v>2375.8148277293635</v>
      </c>
      <c r="E65" s="59">
        <f t="shared" si="7"/>
        <v>0</v>
      </c>
      <c r="F65" s="20">
        <f t="shared" si="2"/>
        <v>2375.8148277293635</v>
      </c>
      <c r="G65" s="20">
        <f t="shared" si="3"/>
        <v>405.93194896538421</v>
      </c>
      <c r="H65" s="20">
        <f t="shared" si="8"/>
        <v>1969.8828787639793</v>
      </c>
      <c r="I65" s="20">
        <f t="shared" si="4"/>
        <v>349795.4687201865</v>
      </c>
      <c r="J65" s="73"/>
      <c r="K65" s="22">
        <f t="shared" si="9"/>
        <v>16504.531279813436</v>
      </c>
      <c r="L65" s="22">
        <f t="shared" si="10"/>
        <v>92782.950795737284</v>
      </c>
      <c r="AE65" s="156" t="s">
        <v>88</v>
      </c>
    </row>
    <row r="66" spans="1:32" ht="14.25" customHeight="1" x14ac:dyDescent="0.2">
      <c r="A66" s="15">
        <f t="shared" si="5"/>
        <v>47</v>
      </c>
      <c r="B66" s="16">
        <f t="shared" si="0"/>
        <v>46327</v>
      </c>
      <c r="C66" s="20">
        <f t="shared" si="6"/>
        <v>349795.4687201865</v>
      </c>
      <c r="D66" s="20">
        <f t="shared" si="1"/>
        <v>2375.8148277293635</v>
      </c>
      <c r="E66" s="59">
        <f t="shared" si="7"/>
        <v>0</v>
      </c>
      <c r="F66" s="20">
        <f t="shared" si="2"/>
        <v>2375.8148277293635</v>
      </c>
      <c r="G66" s="20">
        <f t="shared" si="3"/>
        <v>408.2153161783142</v>
      </c>
      <c r="H66" s="20">
        <f t="shared" si="8"/>
        <v>1967.5995115510493</v>
      </c>
      <c r="I66" s="20">
        <f t="shared" si="4"/>
        <v>349387.25340400817</v>
      </c>
      <c r="J66" s="73"/>
      <c r="K66" s="22">
        <f t="shared" si="9"/>
        <v>16912.74659599175</v>
      </c>
      <c r="L66" s="22">
        <f t="shared" si="10"/>
        <v>94750.550307288329</v>
      </c>
      <c r="AE66" s="1" t="s">
        <v>89</v>
      </c>
      <c r="AF66" s="157">
        <v>700000</v>
      </c>
    </row>
    <row r="67" spans="1:32" ht="14.25" customHeight="1" x14ac:dyDescent="0.2">
      <c r="A67" s="15">
        <f t="shared" si="5"/>
        <v>48</v>
      </c>
      <c r="B67" s="16">
        <f t="shared" si="0"/>
        <v>46357</v>
      </c>
      <c r="C67" s="20">
        <f t="shared" si="6"/>
        <v>349387.25340400817</v>
      </c>
      <c r="D67" s="20">
        <f t="shared" si="1"/>
        <v>2375.8148277293635</v>
      </c>
      <c r="E67" s="59">
        <f t="shared" si="7"/>
        <v>0</v>
      </c>
      <c r="F67" s="20">
        <f t="shared" si="2"/>
        <v>2375.8148277293635</v>
      </c>
      <c r="G67" s="20">
        <f t="shared" si="3"/>
        <v>410.51152733181743</v>
      </c>
      <c r="H67" s="20">
        <f t="shared" si="8"/>
        <v>1965.3033003975461</v>
      </c>
      <c r="I67" s="20">
        <f t="shared" si="4"/>
        <v>348976.74187667633</v>
      </c>
      <c r="J67" s="73"/>
      <c r="K67" s="22">
        <f t="shared" si="9"/>
        <v>17323.258123323569</v>
      </c>
      <c r="L67" s="22">
        <f t="shared" si="10"/>
        <v>96715.853607685873</v>
      </c>
      <c r="AE67" s="1" t="s">
        <v>90</v>
      </c>
      <c r="AF67" s="157">
        <v>450680</v>
      </c>
    </row>
    <row r="68" spans="1:32" ht="14.25" customHeight="1" x14ac:dyDescent="0.2">
      <c r="A68" s="15">
        <f t="shared" si="5"/>
        <v>49</v>
      </c>
      <c r="B68" s="16">
        <f t="shared" si="0"/>
        <v>46388</v>
      </c>
      <c r="C68" s="20">
        <f t="shared" si="6"/>
        <v>348976.74187667633</v>
      </c>
      <c r="D68" s="20">
        <f t="shared" si="1"/>
        <v>2375.8148277293635</v>
      </c>
      <c r="E68" s="59">
        <f t="shared" si="7"/>
        <v>0</v>
      </c>
      <c r="F68" s="20">
        <f t="shared" si="2"/>
        <v>2375.8148277293635</v>
      </c>
      <c r="G68" s="20">
        <f t="shared" si="3"/>
        <v>412.82065467305915</v>
      </c>
      <c r="H68" s="20">
        <f t="shared" si="8"/>
        <v>1962.9941730563044</v>
      </c>
      <c r="I68" s="20">
        <f t="shared" si="4"/>
        <v>348563.92122200329</v>
      </c>
      <c r="J68" s="73"/>
      <c r="K68" s="22">
        <f t="shared" si="9"/>
        <v>17736.078777996627</v>
      </c>
      <c r="L68" s="22">
        <f t="shared" si="10"/>
        <v>98678.847780742173</v>
      </c>
      <c r="AE68" s="1" t="s">
        <v>91</v>
      </c>
      <c r="AF68" s="157">
        <v>1500000</v>
      </c>
    </row>
    <row r="69" spans="1:32" ht="14.25" customHeight="1" x14ac:dyDescent="0.2">
      <c r="A69" s="15">
        <f t="shared" si="5"/>
        <v>50</v>
      </c>
      <c r="B69" s="16">
        <f t="shared" si="0"/>
        <v>46419</v>
      </c>
      <c r="C69" s="20">
        <f t="shared" si="6"/>
        <v>348563.92122200329</v>
      </c>
      <c r="D69" s="20">
        <f t="shared" si="1"/>
        <v>2375.8148277293635</v>
      </c>
      <c r="E69" s="59">
        <f t="shared" si="7"/>
        <v>0</v>
      </c>
      <c r="F69" s="20">
        <f t="shared" si="2"/>
        <v>2375.8148277293635</v>
      </c>
      <c r="G69" s="20">
        <f t="shared" si="3"/>
        <v>415.14277085559502</v>
      </c>
      <c r="H69" s="20">
        <f t="shared" si="8"/>
        <v>1960.6720568737685</v>
      </c>
      <c r="I69" s="20">
        <f t="shared" si="4"/>
        <v>348148.77845114772</v>
      </c>
      <c r="J69" s="73"/>
      <c r="K69" s="22">
        <f t="shared" si="9"/>
        <v>18151.221548852223</v>
      </c>
      <c r="L69" s="22">
        <f t="shared" si="10"/>
        <v>100639.51983761594</v>
      </c>
    </row>
    <row r="70" spans="1:32" ht="14.25" customHeight="1" x14ac:dyDescent="0.2">
      <c r="A70" s="15">
        <f t="shared" si="5"/>
        <v>51</v>
      </c>
      <c r="B70" s="16">
        <f t="shared" si="0"/>
        <v>46447</v>
      </c>
      <c r="C70" s="20">
        <f t="shared" si="6"/>
        <v>348148.77845114772</v>
      </c>
      <c r="D70" s="20">
        <f t="shared" si="1"/>
        <v>2375.8148277293635</v>
      </c>
      <c r="E70" s="59">
        <f t="shared" si="7"/>
        <v>0</v>
      </c>
      <c r="F70" s="20">
        <f t="shared" si="2"/>
        <v>2375.8148277293635</v>
      </c>
      <c r="G70" s="20">
        <f t="shared" si="3"/>
        <v>417.47794894165736</v>
      </c>
      <c r="H70" s="20">
        <f t="shared" si="8"/>
        <v>1958.3368787877062</v>
      </c>
      <c r="I70" s="20">
        <f t="shared" si="4"/>
        <v>347731.30050220608</v>
      </c>
      <c r="J70" s="73"/>
      <c r="K70" s="22">
        <f t="shared" si="9"/>
        <v>18568.699497793881</v>
      </c>
      <c r="L70" s="22">
        <f t="shared" si="10"/>
        <v>102597.85671640365</v>
      </c>
    </row>
    <row r="71" spans="1:32" ht="14.25" customHeight="1" x14ac:dyDescent="0.2">
      <c r="A71" s="15">
        <f t="shared" si="5"/>
        <v>52</v>
      </c>
      <c r="B71" s="16">
        <f t="shared" si="0"/>
        <v>46478</v>
      </c>
      <c r="C71" s="20">
        <f t="shared" si="6"/>
        <v>347731.30050220608</v>
      </c>
      <c r="D71" s="20">
        <f t="shared" si="1"/>
        <v>2375.8148277293635</v>
      </c>
      <c r="E71" s="59">
        <f t="shared" si="7"/>
        <v>0</v>
      </c>
      <c r="F71" s="20">
        <f t="shared" si="2"/>
        <v>2375.8148277293635</v>
      </c>
      <c r="G71" s="20">
        <f t="shared" si="3"/>
        <v>419.82626240445416</v>
      </c>
      <c r="H71" s="20">
        <f t="shared" si="8"/>
        <v>1955.9885653249094</v>
      </c>
      <c r="I71" s="20">
        <f t="shared" si="4"/>
        <v>347311.47423980164</v>
      </c>
      <c r="J71" s="73"/>
      <c r="K71" s="22">
        <f t="shared" si="9"/>
        <v>18988.525760198336</v>
      </c>
      <c r="L71" s="22">
        <f t="shared" si="10"/>
        <v>104553.84528172856</v>
      </c>
    </row>
    <row r="72" spans="1:32" ht="14.25" customHeight="1" x14ac:dyDescent="0.2">
      <c r="A72" s="15">
        <f t="shared" si="5"/>
        <v>53</v>
      </c>
      <c r="B72" s="16">
        <f t="shared" si="0"/>
        <v>46508</v>
      </c>
      <c r="C72" s="20">
        <f t="shared" si="6"/>
        <v>347311.47423980164</v>
      </c>
      <c r="D72" s="20">
        <f t="shared" si="1"/>
        <v>2375.8148277293635</v>
      </c>
      <c r="E72" s="59">
        <f t="shared" si="7"/>
        <v>0</v>
      </c>
      <c r="F72" s="20">
        <f t="shared" si="2"/>
        <v>2375.8148277293635</v>
      </c>
      <c r="G72" s="20">
        <f t="shared" si="3"/>
        <v>422.18778513047914</v>
      </c>
      <c r="H72" s="20">
        <f t="shared" si="8"/>
        <v>1953.6270425988844</v>
      </c>
      <c r="I72" s="20">
        <f t="shared" si="4"/>
        <v>346889.28645467118</v>
      </c>
      <c r="J72" s="73"/>
      <c r="K72" s="22">
        <f t="shared" si="9"/>
        <v>19410.713545328814</v>
      </c>
      <c r="L72" s="22">
        <f t="shared" si="10"/>
        <v>106507.47232432745</v>
      </c>
    </row>
    <row r="73" spans="1:32" ht="14.25" customHeight="1" x14ac:dyDescent="0.2">
      <c r="A73" s="15">
        <f t="shared" si="5"/>
        <v>54</v>
      </c>
      <c r="B73" s="16">
        <f t="shared" si="0"/>
        <v>46539</v>
      </c>
      <c r="C73" s="20">
        <f t="shared" si="6"/>
        <v>346889.28645467118</v>
      </c>
      <c r="D73" s="20">
        <f t="shared" si="1"/>
        <v>2375.8148277293635</v>
      </c>
      <c r="E73" s="59">
        <f t="shared" si="7"/>
        <v>0</v>
      </c>
      <c r="F73" s="20">
        <f t="shared" si="2"/>
        <v>2375.8148277293635</v>
      </c>
      <c r="G73" s="20">
        <f t="shared" si="3"/>
        <v>424.56259142183785</v>
      </c>
      <c r="H73" s="20">
        <f t="shared" si="8"/>
        <v>1951.2522363075257</v>
      </c>
      <c r="I73" s="20">
        <f t="shared" si="4"/>
        <v>346464.72386324935</v>
      </c>
      <c r="J73" s="73"/>
      <c r="K73" s="22">
        <f t="shared" si="9"/>
        <v>19835.27613675065</v>
      </c>
      <c r="L73" s="22">
        <f t="shared" si="10"/>
        <v>108458.72456063498</v>
      </c>
    </row>
    <row r="74" spans="1:32" ht="14.25" customHeight="1" x14ac:dyDescent="0.2">
      <c r="A74" s="15">
        <f t="shared" si="5"/>
        <v>55</v>
      </c>
      <c r="B74" s="16">
        <f t="shared" si="0"/>
        <v>46569</v>
      </c>
      <c r="C74" s="20">
        <f t="shared" si="6"/>
        <v>346464.72386324935</v>
      </c>
      <c r="D74" s="20">
        <f t="shared" si="1"/>
        <v>2375.8148277293635</v>
      </c>
      <c r="E74" s="59">
        <f t="shared" si="7"/>
        <v>0</v>
      </c>
      <c r="F74" s="20">
        <f t="shared" si="2"/>
        <v>2375.8148277293635</v>
      </c>
      <c r="G74" s="20">
        <f t="shared" si="3"/>
        <v>426.95075599858569</v>
      </c>
      <c r="H74" s="20">
        <f t="shared" si="8"/>
        <v>1948.8640717307778</v>
      </c>
      <c r="I74" s="20">
        <f t="shared" si="4"/>
        <v>346037.77310725074</v>
      </c>
      <c r="J74" s="73"/>
      <c r="K74" s="22">
        <f t="shared" si="9"/>
        <v>20262.226892749237</v>
      </c>
      <c r="L74" s="22">
        <f t="shared" si="10"/>
        <v>110407.58863236575</v>
      </c>
    </row>
    <row r="75" spans="1:32" ht="14.25" customHeight="1" x14ac:dyDescent="0.2">
      <c r="A75" s="15">
        <f t="shared" si="5"/>
        <v>56</v>
      </c>
      <c r="B75" s="16">
        <f t="shared" si="0"/>
        <v>46600</v>
      </c>
      <c r="C75" s="20">
        <f t="shared" si="6"/>
        <v>346037.77310725074</v>
      </c>
      <c r="D75" s="20">
        <f t="shared" si="1"/>
        <v>2375.8148277293635</v>
      </c>
      <c r="E75" s="59">
        <f t="shared" si="7"/>
        <v>0</v>
      </c>
      <c r="F75" s="20">
        <f t="shared" si="2"/>
        <v>2375.8148277293635</v>
      </c>
      <c r="G75" s="20">
        <f t="shared" si="3"/>
        <v>429.35235400107786</v>
      </c>
      <c r="H75" s="20">
        <f t="shared" si="8"/>
        <v>1946.4624737282857</v>
      </c>
      <c r="I75" s="20">
        <f t="shared" si="4"/>
        <v>345608.42075324967</v>
      </c>
      <c r="J75" s="73"/>
      <c r="K75" s="22">
        <f t="shared" si="9"/>
        <v>20691.579246750316</v>
      </c>
      <c r="L75" s="22">
        <f t="shared" si="10"/>
        <v>112354.05110609403</v>
      </c>
    </row>
    <row r="76" spans="1:32" ht="14.25" customHeight="1" x14ac:dyDescent="0.2">
      <c r="A76" s="15">
        <f t="shared" si="5"/>
        <v>57</v>
      </c>
      <c r="B76" s="16">
        <f t="shared" si="0"/>
        <v>46631</v>
      </c>
      <c r="C76" s="20">
        <f t="shared" si="6"/>
        <v>345608.42075324967</v>
      </c>
      <c r="D76" s="20">
        <f t="shared" si="1"/>
        <v>2375.8148277293635</v>
      </c>
      <c r="E76" s="59">
        <f t="shared" si="7"/>
        <v>0</v>
      </c>
      <c r="F76" s="20">
        <f t="shared" si="2"/>
        <v>2375.8148277293635</v>
      </c>
      <c r="G76" s="20">
        <f t="shared" si="3"/>
        <v>431.76746099233401</v>
      </c>
      <c r="H76" s="20">
        <f t="shared" si="8"/>
        <v>1944.0473667370295</v>
      </c>
      <c r="I76" s="20">
        <f t="shared" si="4"/>
        <v>345176.65329225734</v>
      </c>
      <c r="J76" s="73"/>
      <c r="K76" s="22">
        <f t="shared" si="9"/>
        <v>21123.34670774265</v>
      </c>
      <c r="L76" s="22">
        <f t="shared" si="10"/>
        <v>114298.09847283106</v>
      </c>
    </row>
    <row r="77" spans="1:32" ht="14.25" customHeight="1" x14ac:dyDescent="0.2">
      <c r="A77" s="15">
        <f t="shared" si="5"/>
        <v>58</v>
      </c>
      <c r="B77" s="16">
        <f t="shared" si="0"/>
        <v>46661</v>
      </c>
      <c r="C77" s="20">
        <f t="shared" si="6"/>
        <v>345176.65329225734</v>
      </c>
      <c r="D77" s="20">
        <f t="shared" si="1"/>
        <v>2375.8148277293635</v>
      </c>
      <c r="E77" s="59">
        <f t="shared" si="7"/>
        <v>0</v>
      </c>
      <c r="F77" s="20">
        <f t="shared" si="2"/>
        <v>2375.8148277293635</v>
      </c>
      <c r="G77" s="20">
        <f t="shared" si="3"/>
        <v>434.1961529604157</v>
      </c>
      <c r="H77" s="20">
        <f t="shared" si="8"/>
        <v>1941.6186747689478</v>
      </c>
      <c r="I77" s="20">
        <f t="shared" si="4"/>
        <v>344742.45713929692</v>
      </c>
      <c r="J77" s="73"/>
      <c r="K77" s="22">
        <f t="shared" si="9"/>
        <v>21557.542860703066</v>
      </c>
      <c r="L77" s="22">
        <f t="shared" si="10"/>
        <v>116239.71714760001</v>
      </c>
    </row>
    <row r="78" spans="1:32" ht="14.25" customHeight="1" x14ac:dyDescent="0.2">
      <c r="A78" s="15">
        <f t="shared" si="5"/>
        <v>59</v>
      </c>
      <c r="B78" s="16">
        <f t="shared" si="0"/>
        <v>46692</v>
      </c>
      <c r="C78" s="20">
        <f t="shared" si="6"/>
        <v>344742.45713929692</v>
      </c>
      <c r="D78" s="20">
        <f t="shared" si="1"/>
        <v>2375.8148277293635</v>
      </c>
      <c r="E78" s="59">
        <f t="shared" si="7"/>
        <v>0</v>
      </c>
      <c r="F78" s="20">
        <f t="shared" si="2"/>
        <v>2375.8148277293635</v>
      </c>
      <c r="G78" s="20">
        <f t="shared" si="3"/>
        <v>436.63850632081835</v>
      </c>
      <c r="H78" s="20">
        <f t="shared" si="8"/>
        <v>1939.1763214085452</v>
      </c>
      <c r="I78" s="20">
        <f t="shared" si="4"/>
        <v>344305.81863297609</v>
      </c>
      <c r="J78" s="73"/>
      <c r="K78" s="22">
        <f t="shared" si="9"/>
        <v>21994.181367023884</v>
      </c>
      <c r="L78" s="22">
        <f t="shared" si="10"/>
        <v>118178.89346900856</v>
      </c>
    </row>
    <row r="79" spans="1:32" ht="14.25" customHeight="1" x14ac:dyDescent="0.2">
      <c r="A79" s="15">
        <f t="shared" si="5"/>
        <v>60</v>
      </c>
      <c r="B79" s="16">
        <f t="shared" si="0"/>
        <v>46722</v>
      </c>
      <c r="C79" s="20">
        <f t="shared" si="6"/>
        <v>344305.81863297609</v>
      </c>
      <c r="D79" s="20">
        <f t="shared" si="1"/>
        <v>2375.8148277293635</v>
      </c>
      <c r="E79" s="59">
        <f t="shared" si="7"/>
        <v>0</v>
      </c>
      <c r="F79" s="20">
        <f t="shared" si="2"/>
        <v>2375.8148277293635</v>
      </c>
      <c r="G79" s="20">
        <f t="shared" si="3"/>
        <v>439.09459791887298</v>
      </c>
      <c r="H79" s="20">
        <f t="shared" si="8"/>
        <v>1936.7202298104905</v>
      </c>
      <c r="I79" s="20">
        <f t="shared" si="4"/>
        <v>343866.72403505724</v>
      </c>
      <c r="J79" s="73"/>
      <c r="K79" s="22">
        <f t="shared" si="9"/>
        <v>22433.275964942757</v>
      </c>
      <c r="L79" s="22">
        <f t="shared" si="10"/>
        <v>120115.61369881906</v>
      </c>
    </row>
    <row r="80" spans="1:32" ht="14.25" customHeight="1" x14ac:dyDescent="0.2">
      <c r="A80" s="15">
        <f t="shared" si="5"/>
        <v>61</v>
      </c>
      <c r="B80" s="16">
        <f t="shared" si="0"/>
        <v>46753</v>
      </c>
      <c r="C80" s="20">
        <f t="shared" si="6"/>
        <v>343866.72403505724</v>
      </c>
      <c r="D80" s="20">
        <f t="shared" si="1"/>
        <v>2375.8148277293635</v>
      </c>
      <c r="E80" s="59">
        <f t="shared" si="7"/>
        <v>0</v>
      </c>
      <c r="F80" s="20">
        <f t="shared" si="2"/>
        <v>2375.8148277293635</v>
      </c>
      <c r="G80" s="20">
        <f t="shared" si="3"/>
        <v>441.56450503216661</v>
      </c>
      <c r="H80" s="20">
        <f t="shared" si="8"/>
        <v>1934.2503226971969</v>
      </c>
      <c r="I80" s="20">
        <f t="shared" si="4"/>
        <v>343425.15953002509</v>
      </c>
      <c r="J80" s="73"/>
      <c r="K80" s="22">
        <f t="shared" si="9"/>
        <v>22874.840469974923</v>
      </c>
      <c r="L80" s="22">
        <f t="shared" si="10"/>
        <v>122049.86402151626</v>
      </c>
    </row>
    <row r="81" spans="1:12" ht="14.25" customHeight="1" x14ac:dyDescent="0.2">
      <c r="A81" s="15">
        <f t="shared" si="5"/>
        <v>62</v>
      </c>
      <c r="B81" s="16">
        <f t="shared" si="0"/>
        <v>46784</v>
      </c>
      <c r="C81" s="20">
        <f t="shared" si="6"/>
        <v>343425.15953002509</v>
      </c>
      <c r="D81" s="20">
        <f t="shared" si="1"/>
        <v>2375.8148277293635</v>
      </c>
      <c r="E81" s="59">
        <f t="shared" si="7"/>
        <v>0</v>
      </c>
      <c r="F81" s="20">
        <f t="shared" si="2"/>
        <v>2375.8148277293635</v>
      </c>
      <c r="G81" s="20">
        <f t="shared" si="3"/>
        <v>444.04830537297244</v>
      </c>
      <c r="H81" s="20">
        <f t="shared" si="8"/>
        <v>1931.7665223563911</v>
      </c>
      <c r="I81" s="20">
        <f t="shared" si="4"/>
        <v>342981.11122465209</v>
      </c>
      <c r="J81" s="73"/>
      <c r="K81" s="22">
        <f t="shared" si="9"/>
        <v>23318.888775347896</v>
      </c>
      <c r="L81" s="22">
        <f t="shared" si="10"/>
        <v>123981.63054387266</v>
      </c>
    </row>
    <row r="82" spans="1:12" ht="14.25" customHeight="1" x14ac:dyDescent="0.2">
      <c r="A82" s="15">
        <f t="shared" si="5"/>
        <v>63</v>
      </c>
      <c r="B82" s="16">
        <f t="shared" si="0"/>
        <v>46813</v>
      </c>
      <c r="C82" s="20">
        <f t="shared" si="6"/>
        <v>342981.11122465209</v>
      </c>
      <c r="D82" s="20">
        <f t="shared" si="1"/>
        <v>2375.8148277293635</v>
      </c>
      <c r="E82" s="59">
        <f t="shared" si="7"/>
        <v>0</v>
      </c>
      <c r="F82" s="20">
        <f t="shared" si="2"/>
        <v>2375.8148277293635</v>
      </c>
      <c r="G82" s="20">
        <f t="shared" si="3"/>
        <v>446.54607709069523</v>
      </c>
      <c r="H82" s="20">
        <f t="shared" si="8"/>
        <v>1929.2687506386683</v>
      </c>
      <c r="I82" s="20">
        <f t="shared" si="4"/>
        <v>342534.56514756137</v>
      </c>
      <c r="J82" s="73"/>
      <c r="K82" s="22">
        <f t="shared" si="9"/>
        <v>23765.43485243859</v>
      </c>
      <c r="L82" s="22">
        <f t="shared" si="10"/>
        <v>125910.89929451133</v>
      </c>
    </row>
    <row r="83" spans="1:12" ht="14.25" customHeight="1" x14ac:dyDescent="0.2">
      <c r="A83" s="15">
        <f t="shared" si="5"/>
        <v>64</v>
      </c>
      <c r="B83" s="16">
        <f t="shared" si="0"/>
        <v>46844</v>
      </c>
      <c r="C83" s="20">
        <f t="shared" si="6"/>
        <v>342534.56514756137</v>
      </c>
      <c r="D83" s="20">
        <f t="shared" si="1"/>
        <v>2375.8148277293635</v>
      </c>
      <c r="E83" s="59">
        <f t="shared" si="7"/>
        <v>0</v>
      </c>
      <c r="F83" s="20">
        <f t="shared" si="2"/>
        <v>2375.8148277293635</v>
      </c>
      <c r="G83" s="20">
        <f t="shared" si="3"/>
        <v>449.05789877433062</v>
      </c>
      <c r="H83" s="20">
        <f t="shared" si="8"/>
        <v>1926.7569289550329</v>
      </c>
      <c r="I83" s="20">
        <f t="shared" si="4"/>
        <v>342085.50724878703</v>
      </c>
      <c r="J83" s="73"/>
      <c r="K83" s="22">
        <f t="shared" si="9"/>
        <v>24214.492751212922</v>
      </c>
      <c r="L83" s="22">
        <f t="shared" si="10"/>
        <v>127837.65622346636</v>
      </c>
    </row>
    <row r="84" spans="1:12" ht="14.25" customHeight="1" x14ac:dyDescent="0.2">
      <c r="A84" s="15">
        <f t="shared" si="5"/>
        <v>65</v>
      </c>
      <c r="B84" s="16">
        <f t="shared" ref="B84:B147" si="15">IF(Pay_Num&lt;&gt;"",DATE(YEAR(Loan_Start),MONTH(Loan_Start)+(Pay_Num)*12/Num_Pmt_Per_Year,DAY(Loan_Start)),"")</f>
        <v>46874</v>
      </c>
      <c r="C84" s="20">
        <f t="shared" si="6"/>
        <v>342085.50724878703</v>
      </c>
      <c r="D84" s="20">
        <f t="shared" ref="D84:D147" si="16">IF($AG$14&lt;&gt;"",(IF(A84&lt;=$AG$15,(Loan_Amount*Interest_Rate/12),(Loan_Amount*((Interest_Rate/12+1)-1)/(1-((Interest_Rate/12+1)^(Loan_Years*-12+$AG$15)))))),(Loan_Amount*((Interest_Rate/12+1)-1)/(1-((Interest_Rate/12+1)^(Loan_Years*-12)))))</f>
        <v>2375.8148277293635</v>
      </c>
      <c r="E84" s="59">
        <f t="shared" si="7"/>
        <v>0</v>
      </c>
      <c r="F84" s="20">
        <f t="shared" ref="F84:F147" si="17">IF(AND(Pay_Num&lt;&gt;"",Sched_Pay+Extra_Pay&lt;Beg_Bal),Sched_Pay+Extra_Pay,IF(Pay_Num&lt;&gt;"",Beg_Bal,""))</f>
        <v>2375.8148277293635</v>
      </c>
      <c r="G84" s="20">
        <f t="shared" ref="G84:G147" si="18">IF(Pay_Num&lt;&gt;"",Total_Pay-Int,"")</f>
        <v>451.5838494549364</v>
      </c>
      <c r="H84" s="20">
        <f t="shared" si="8"/>
        <v>1924.2309782744271</v>
      </c>
      <c r="I84" s="20">
        <f t="shared" ref="I84:I147" si="19">IF(AND(Pay_Num&lt;&gt;"",Sched_Pay+Extra_Pay&lt;Beg_Bal),Beg_Bal-Princ,IF(Pay_Num&lt;&gt;"",0,""))</f>
        <v>341633.9233993321</v>
      </c>
      <c r="J84" s="73"/>
      <c r="K84" s="22">
        <f t="shared" si="9"/>
        <v>24666.076600667857</v>
      </c>
      <c r="L84" s="22">
        <f t="shared" si="10"/>
        <v>129761.88720174078</v>
      </c>
    </row>
    <row r="85" spans="1:12" ht="14.25" customHeight="1" x14ac:dyDescent="0.2">
      <c r="A85" s="15">
        <f t="shared" ref="A85:A148" si="20">IF(values_entered,A84+1,"")</f>
        <v>66</v>
      </c>
      <c r="B85" s="16">
        <f t="shared" si="15"/>
        <v>46905</v>
      </c>
      <c r="C85" s="20">
        <f t="shared" ref="C85:C148" si="21">IF(Pay_Num&lt;&gt;"",I84,"")</f>
        <v>341633.9233993321</v>
      </c>
      <c r="D85" s="20">
        <f t="shared" si="16"/>
        <v>2375.8148277293635</v>
      </c>
      <c r="E85" s="59">
        <f t="shared" ref="E85:E148" si="22">$D$13</f>
        <v>0</v>
      </c>
      <c r="F85" s="20">
        <f t="shared" si="17"/>
        <v>2375.8148277293635</v>
      </c>
      <c r="G85" s="20">
        <f t="shared" si="18"/>
        <v>454.12400860812022</v>
      </c>
      <c r="H85" s="20">
        <f t="shared" ref="H85:H148" si="23">IF(Pay_Num&lt;&gt;"",Beg_Bal*Interest_Rate/Num_Pmt_Per_Year,"")</f>
        <v>1921.6908191212433</v>
      </c>
      <c r="I85" s="20">
        <f t="shared" si="19"/>
        <v>341179.79939072399</v>
      </c>
      <c r="J85" s="73"/>
      <c r="K85" s="22">
        <f t="shared" ref="K85:K148" si="24">G85+K84</f>
        <v>25120.200609275977</v>
      </c>
      <c r="L85" s="22">
        <f t="shared" ref="L85:L148" si="25">L84+H85</f>
        <v>131683.57802086204</v>
      </c>
    </row>
    <row r="86" spans="1:12" ht="14.25" customHeight="1" x14ac:dyDescent="0.2">
      <c r="A86" s="15">
        <f t="shared" si="20"/>
        <v>67</v>
      </c>
      <c r="B86" s="16">
        <f t="shared" si="15"/>
        <v>46935</v>
      </c>
      <c r="C86" s="20">
        <f t="shared" si="21"/>
        <v>341179.79939072399</v>
      </c>
      <c r="D86" s="20">
        <f t="shared" si="16"/>
        <v>2375.8148277293635</v>
      </c>
      <c r="E86" s="59">
        <f t="shared" si="22"/>
        <v>0</v>
      </c>
      <c r="F86" s="20">
        <f t="shared" si="17"/>
        <v>2375.8148277293635</v>
      </c>
      <c r="G86" s="20">
        <f t="shared" si="18"/>
        <v>456.67845615654119</v>
      </c>
      <c r="H86" s="20">
        <f t="shared" si="23"/>
        <v>1919.1363715728223</v>
      </c>
      <c r="I86" s="20">
        <f t="shared" si="19"/>
        <v>340723.12093456747</v>
      </c>
      <c r="J86" s="73"/>
      <c r="K86" s="22">
        <f t="shared" si="24"/>
        <v>25576.879065432517</v>
      </c>
      <c r="L86" s="22">
        <f t="shared" si="25"/>
        <v>133602.71439243486</v>
      </c>
    </row>
    <row r="87" spans="1:12" ht="14.25" customHeight="1" x14ac:dyDescent="0.2">
      <c r="A87" s="15">
        <f t="shared" si="20"/>
        <v>68</v>
      </c>
      <c r="B87" s="16">
        <f t="shared" si="15"/>
        <v>46966</v>
      </c>
      <c r="C87" s="20">
        <f t="shared" si="21"/>
        <v>340723.12093456747</v>
      </c>
      <c r="D87" s="20">
        <f t="shared" si="16"/>
        <v>2375.8148277293635</v>
      </c>
      <c r="E87" s="59">
        <f t="shared" si="22"/>
        <v>0</v>
      </c>
      <c r="F87" s="20">
        <f t="shared" si="17"/>
        <v>2375.8148277293635</v>
      </c>
      <c r="G87" s="20">
        <f t="shared" si="18"/>
        <v>459.2472724724214</v>
      </c>
      <c r="H87" s="20">
        <f t="shared" si="23"/>
        <v>1916.5675552569421</v>
      </c>
      <c r="I87" s="20">
        <f t="shared" si="19"/>
        <v>340263.87366209505</v>
      </c>
      <c r="J87" s="73"/>
      <c r="K87" s="22">
        <f t="shared" si="24"/>
        <v>26036.126337904938</v>
      </c>
      <c r="L87" s="22">
        <f t="shared" si="25"/>
        <v>135519.28194769181</v>
      </c>
    </row>
    <row r="88" spans="1:12" ht="14.25" customHeight="1" x14ac:dyDescent="0.2">
      <c r="A88" s="15">
        <f t="shared" si="20"/>
        <v>69</v>
      </c>
      <c r="B88" s="16">
        <f t="shared" si="15"/>
        <v>46997</v>
      </c>
      <c r="C88" s="20">
        <f t="shared" si="21"/>
        <v>340263.87366209505</v>
      </c>
      <c r="D88" s="20">
        <f t="shared" si="16"/>
        <v>2375.8148277293635</v>
      </c>
      <c r="E88" s="59">
        <f t="shared" si="22"/>
        <v>0</v>
      </c>
      <c r="F88" s="20">
        <f t="shared" si="17"/>
        <v>2375.8148277293635</v>
      </c>
      <c r="G88" s="20">
        <f t="shared" si="18"/>
        <v>461.83053838007868</v>
      </c>
      <c r="H88" s="20">
        <f t="shared" si="23"/>
        <v>1913.9842893492848</v>
      </c>
      <c r="I88" s="20">
        <f t="shared" si="19"/>
        <v>339802.04312371498</v>
      </c>
      <c r="J88" s="73"/>
      <c r="K88" s="22">
        <f t="shared" si="24"/>
        <v>26497.956876285018</v>
      </c>
      <c r="L88" s="22">
        <f t="shared" si="25"/>
        <v>137433.2662370411</v>
      </c>
    </row>
    <row r="89" spans="1:12" ht="14.25" customHeight="1" x14ac:dyDescent="0.2">
      <c r="A89" s="15">
        <f t="shared" si="20"/>
        <v>70</v>
      </c>
      <c r="B89" s="16">
        <f t="shared" si="15"/>
        <v>47027</v>
      </c>
      <c r="C89" s="20">
        <f t="shared" si="21"/>
        <v>339802.04312371498</v>
      </c>
      <c r="D89" s="20">
        <f t="shared" si="16"/>
        <v>2375.8148277293635</v>
      </c>
      <c r="E89" s="59">
        <f t="shared" si="22"/>
        <v>0</v>
      </c>
      <c r="F89" s="20">
        <f t="shared" si="17"/>
        <v>2375.8148277293635</v>
      </c>
      <c r="G89" s="20">
        <f t="shared" si="18"/>
        <v>464.42833515846678</v>
      </c>
      <c r="H89" s="20">
        <f t="shared" si="23"/>
        <v>1911.3864925708967</v>
      </c>
      <c r="I89" s="20">
        <f t="shared" si="19"/>
        <v>339337.61478855653</v>
      </c>
      <c r="J89" s="73"/>
      <c r="K89" s="22">
        <f t="shared" si="24"/>
        <v>26962.385211443485</v>
      </c>
      <c r="L89" s="22">
        <f t="shared" si="25"/>
        <v>139344.65272961199</v>
      </c>
    </row>
    <row r="90" spans="1:12" ht="14.25" customHeight="1" x14ac:dyDescent="0.2">
      <c r="A90" s="15">
        <f t="shared" si="20"/>
        <v>71</v>
      </c>
      <c r="B90" s="16">
        <f t="shared" si="15"/>
        <v>47058</v>
      </c>
      <c r="C90" s="20">
        <f t="shared" si="21"/>
        <v>339337.61478855653</v>
      </c>
      <c r="D90" s="20">
        <f t="shared" si="16"/>
        <v>2375.8148277293635</v>
      </c>
      <c r="E90" s="59">
        <f t="shared" si="22"/>
        <v>0</v>
      </c>
      <c r="F90" s="20">
        <f t="shared" si="17"/>
        <v>2375.8148277293635</v>
      </c>
      <c r="G90" s="20">
        <f t="shared" si="18"/>
        <v>467.0407445437329</v>
      </c>
      <c r="H90" s="20">
        <f t="shared" si="23"/>
        <v>1908.7740831856306</v>
      </c>
      <c r="I90" s="20">
        <f t="shared" si="19"/>
        <v>338870.57404401281</v>
      </c>
      <c r="J90" s="73"/>
      <c r="K90" s="22">
        <f t="shared" si="24"/>
        <v>27429.425955987219</v>
      </c>
      <c r="L90" s="22">
        <f t="shared" si="25"/>
        <v>141253.42681279761</v>
      </c>
    </row>
    <row r="91" spans="1:12" ht="14.25" customHeight="1" x14ac:dyDescent="0.2">
      <c r="A91" s="15">
        <f t="shared" si="20"/>
        <v>72</v>
      </c>
      <c r="B91" s="16">
        <f t="shared" si="15"/>
        <v>47088</v>
      </c>
      <c r="C91" s="20">
        <f t="shared" si="21"/>
        <v>338870.57404401281</v>
      </c>
      <c r="D91" s="20">
        <f t="shared" si="16"/>
        <v>2375.8148277293635</v>
      </c>
      <c r="E91" s="59">
        <f t="shared" si="22"/>
        <v>0</v>
      </c>
      <c r="F91" s="20">
        <f t="shared" si="17"/>
        <v>2375.8148277293635</v>
      </c>
      <c r="G91" s="20">
        <f t="shared" si="18"/>
        <v>469.66784873179154</v>
      </c>
      <c r="H91" s="20">
        <f t="shared" si="23"/>
        <v>1906.146978997572</v>
      </c>
      <c r="I91" s="20">
        <f t="shared" si="19"/>
        <v>338400.90619528102</v>
      </c>
      <c r="J91" s="73"/>
      <c r="K91" s="22">
        <f t="shared" si="24"/>
        <v>27899.09380471901</v>
      </c>
      <c r="L91" s="22">
        <f t="shared" si="25"/>
        <v>143159.57379179518</v>
      </c>
    </row>
    <row r="92" spans="1:12" ht="14.25" customHeight="1" x14ac:dyDescent="0.2">
      <c r="A92" s="15">
        <f t="shared" si="20"/>
        <v>73</v>
      </c>
      <c r="B92" s="16">
        <f t="shared" si="15"/>
        <v>47119</v>
      </c>
      <c r="C92" s="20">
        <f t="shared" si="21"/>
        <v>338400.90619528102</v>
      </c>
      <c r="D92" s="20">
        <f t="shared" si="16"/>
        <v>2375.8148277293635</v>
      </c>
      <c r="E92" s="59">
        <f t="shared" si="22"/>
        <v>0</v>
      </c>
      <c r="F92" s="20">
        <f t="shared" si="17"/>
        <v>2375.8148277293635</v>
      </c>
      <c r="G92" s="20">
        <f t="shared" si="18"/>
        <v>472.30973038090769</v>
      </c>
      <c r="H92" s="20">
        <f t="shared" si="23"/>
        <v>1903.5050973484558</v>
      </c>
      <c r="I92" s="20">
        <f t="shared" si="19"/>
        <v>337928.59646490013</v>
      </c>
      <c r="J92" s="73"/>
      <c r="K92" s="22">
        <f t="shared" si="24"/>
        <v>28371.403535099918</v>
      </c>
      <c r="L92" s="22">
        <f t="shared" si="25"/>
        <v>145063.07888914362</v>
      </c>
    </row>
    <row r="93" spans="1:12" ht="14.25" customHeight="1" x14ac:dyDescent="0.2">
      <c r="A93" s="15">
        <f t="shared" si="20"/>
        <v>74</v>
      </c>
      <c r="B93" s="16">
        <f t="shared" si="15"/>
        <v>47150</v>
      </c>
      <c r="C93" s="20">
        <f t="shared" si="21"/>
        <v>337928.59646490013</v>
      </c>
      <c r="D93" s="20">
        <f t="shared" si="16"/>
        <v>2375.8148277293635</v>
      </c>
      <c r="E93" s="59">
        <f t="shared" si="22"/>
        <v>0</v>
      </c>
      <c r="F93" s="20">
        <f t="shared" si="17"/>
        <v>2375.8148277293635</v>
      </c>
      <c r="G93" s="20">
        <f t="shared" si="18"/>
        <v>474.9664726143003</v>
      </c>
      <c r="H93" s="20">
        <f t="shared" si="23"/>
        <v>1900.8483551150632</v>
      </c>
      <c r="I93" s="20">
        <f t="shared" si="19"/>
        <v>337453.6299922858</v>
      </c>
      <c r="J93" s="73"/>
      <c r="K93" s="22">
        <f t="shared" si="24"/>
        <v>28846.37000771422</v>
      </c>
      <c r="L93" s="22">
        <f t="shared" si="25"/>
        <v>146963.9272442587</v>
      </c>
    </row>
    <row r="94" spans="1:12" ht="14.25" customHeight="1" x14ac:dyDescent="0.2">
      <c r="A94" s="15">
        <f t="shared" si="20"/>
        <v>75</v>
      </c>
      <c r="B94" s="16">
        <f t="shared" si="15"/>
        <v>47178</v>
      </c>
      <c r="C94" s="20">
        <f t="shared" si="21"/>
        <v>337453.6299922858</v>
      </c>
      <c r="D94" s="20">
        <f t="shared" si="16"/>
        <v>2375.8148277293635</v>
      </c>
      <c r="E94" s="59">
        <f t="shared" si="22"/>
        <v>0</v>
      </c>
      <c r="F94" s="20">
        <f t="shared" si="17"/>
        <v>2375.8148277293635</v>
      </c>
      <c r="G94" s="20">
        <f t="shared" si="18"/>
        <v>477.63815902275587</v>
      </c>
      <c r="H94" s="20">
        <f t="shared" si="23"/>
        <v>1898.1766687066076</v>
      </c>
      <c r="I94" s="20">
        <f t="shared" si="19"/>
        <v>336975.99183326302</v>
      </c>
      <c r="J94" s="73"/>
      <c r="K94" s="22">
        <f t="shared" si="24"/>
        <v>29324.008166736978</v>
      </c>
      <c r="L94" s="22">
        <f t="shared" si="25"/>
        <v>148862.10391296531</v>
      </c>
    </row>
    <row r="95" spans="1:12" ht="14.25" customHeight="1" x14ac:dyDescent="0.2">
      <c r="A95" s="15">
        <f t="shared" si="20"/>
        <v>76</v>
      </c>
      <c r="B95" s="16">
        <f t="shared" si="15"/>
        <v>47209</v>
      </c>
      <c r="C95" s="20">
        <f t="shared" si="21"/>
        <v>336975.99183326302</v>
      </c>
      <c r="D95" s="20">
        <f t="shared" si="16"/>
        <v>2375.8148277293635</v>
      </c>
      <c r="E95" s="59">
        <f t="shared" si="22"/>
        <v>0</v>
      </c>
      <c r="F95" s="20">
        <f t="shared" si="17"/>
        <v>2375.8148277293635</v>
      </c>
      <c r="G95" s="20">
        <f t="shared" si="18"/>
        <v>480.324873667259</v>
      </c>
      <c r="H95" s="20">
        <f t="shared" si="23"/>
        <v>1895.4899540621045</v>
      </c>
      <c r="I95" s="20">
        <f t="shared" si="19"/>
        <v>336495.66695959575</v>
      </c>
      <c r="J95" s="73"/>
      <c r="K95" s="22">
        <f t="shared" si="24"/>
        <v>29804.333040404235</v>
      </c>
      <c r="L95" s="22">
        <f t="shared" si="25"/>
        <v>150757.5938670274</v>
      </c>
    </row>
    <row r="96" spans="1:12" ht="14.25" customHeight="1" x14ac:dyDescent="0.2">
      <c r="A96" s="15">
        <f t="shared" si="20"/>
        <v>77</v>
      </c>
      <c r="B96" s="16">
        <f t="shared" si="15"/>
        <v>47239</v>
      </c>
      <c r="C96" s="20">
        <f t="shared" si="21"/>
        <v>336495.66695959575</v>
      </c>
      <c r="D96" s="20">
        <f t="shared" si="16"/>
        <v>2375.8148277293635</v>
      </c>
      <c r="E96" s="59">
        <f t="shared" si="22"/>
        <v>0</v>
      </c>
      <c r="F96" s="20">
        <f t="shared" si="17"/>
        <v>2375.8148277293635</v>
      </c>
      <c r="G96" s="20">
        <f t="shared" si="18"/>
        <v>483.02670108163738</v>
      </c>
      <c r="H96" s="20">
        <f t="shared" si="23"/>
        <v>1892.7881266477261</v>
      </c>
      <c r="I96" s="20">
        <f t="shared" si="19"/>
        <v>336012.64025851409</v>
      </c>
      <c r="J96" s="73"/>
      <c r="K96" s="22">
        <f t="shared" si="24"/>
        <v>30287.359741485874</v>
      </c>
      <c r="L96" s="22">
        <f t="shared" si="25"/>
        <v>152650.38199367514</v>
      </c>
    </row>
    <row r="97" spans="1:12" ht="14.25" customHeight="1" x14ac:dyDescent="0.2">
      <c r="A97" s="15">
        <f t="shared" si="20"/>
        <v>78</v>
      </c>
      <c r="B97" s="16">
        <f t="shared" si="15"/>
        <v>47270</v>
      </c>
      <c r="C97" s="20">
        <f t="shared" si="21"/>
        <v>336012.64025851409</v>
      </c>
      <c r="D97" s="20">
        <f t="shared" si="16"/>
        <v>2375.8148277293635</v>
      </c>
      <c r="E97" s="59">
        <f t="shared" si="22"/>
        <v>0</v>
      </c>
      <c r="F97" s="20">
        <f t="shared" si="17"/>
        <v>2375.8148277293635</v>
      </c>
      <c r="G97" s="20">
        <f t="shared" si="18"/>
        <v>485.74372627522166</v>
      </c>
      <c r="H97" s="20">
        <f t="shared" si="23"/>
        <v>1890.0711014541419</v>
      </c>
      <c r="I97" s="20">
        <f t="shared" si="19"/>
        <v>335526.89653223887</v>
      </c>
      <c r="J97" s="73"/>
      <c r="K97" s="22">
        <f t="shared" si="24"/>
        <v>30773.103467761095</v>
      </c>
      <c r="L97" s="22">
        <f t="shared" si="25"/>
        <v>154540.45309512928</v>
      </c>
    </row>
    <row r="98" spans="1:12" ht="14.25" customHeight="1" x14ac:dyDescent="0.2">
      <c r="A98" s="15">
        <f t="shared" si="20"/>
        <v>79</v>
      </c>
      <c r="B98" s="16">
        <f t="shared" si="15"/>
        <v>47300</v>
      </c>
      <c r="C98" s="20">
        <f t="shared" si="21"/>
        <v>335526.89653223887</v>
      </c>
      <c r="D98" s="20">
        <f t="shared" si="16"/>
        <v>2375.8148277293635</v>
      </c>
      <c r="E98" s="59">
        <f t="shared" si="22"/>
        <v>0</v>
      </c>
      <c r="F98" s="20">
        <f t="shared" si="17"/>
        <v>2375.8148277293635</v>
      </c>
      <c r="G98" s="20">
        <f t="shared" si="18"/>
        <v>488.47603473551976</v>
      </c>
      <c r="H98" s="20">
        <f t="shared" si="23"/>
        <v>1887.3387929938438</v>
      </c>
      <c r="I98" s="20">
        <f t="shared" si="19"/>
        <v>335038.42049750336</v>
      </c>
      <c r="J98" s="73"/>
      <c r="K98" s="22">
        <f t="shared" si="24"/>
        <v>31261.579502496614</v>
      </c>
      <c r="L98" s="22">
        <f t="shared" si="25"/>
        <v>156427.79188812312</v>
      </c>
    </row>
    <row r="99" spans="1:12" ht="14.25" customHeight="1" x14ac:dyDescent="0.2">
      <c r="A99" s="15">
        <f t="shared" si="20"/>
        <v>80</v>
      </c>
      <c r="B99" s="16">
        <f t="shared" si="15"/>
        <v>47331</v>
      </c>
      <c r="C99" s="20">
        <f t="shared" si="21"/>
        <v>335038.42049750336</v>
      </c>
      <c r="D99" s="20">
        <f t="shared" si="16"/>
        <v>2375.8148277293635</v>
      </c>
      <c r="E99" s="59">
        <f t="shared" si="22"/>
        <v>0</v>
      </c>
      <c r="F99" s="20">
        <f t="shared" si="17"/>
        <v>2375.8148277293635</v>
      </c>
      <c r="G99" s="20">
        <f t="shared" si="18"/>
        <v>491.22371243090697</v>
      </c>
      <c r="H99" s="20">
        <f t="shared" si="23"/>
        <v>1884.5911152984565</v>
      </c>
      <c r="I99" s="20">
        <f t="shared" si="19"/>
        <v>334547.19678507245</v>
      </c>
      <c r="J99" s="73"/>
      <c r="K99" s="22">
        <f t="shared" si="24"/>
        <v>31752.80321492752</v>
      </c>
      <c r="L99" s="22">
        <f t="shared" si="25"/>
        <v>158312.38300342156</v>
      </c>
    </row>
    <row r="100" spans="1:12" ht="14.25" customHeight="1" x14ac:dyDescent="0.2">
      <c r="A100" s="15">
        <f t="shared" si="20"/>
        <v>81</v>
      </c>
      <c r="B100" s="16">
        <f t="shared" si="15"/>
        <v>47362</v>
      </c>
      <c r="C100" s="20">
        <f t="shared" si="21"/>
        <v>334547.19678507245</v>
      </c>
      <c r="D100" s="20">
        <f t="shared" si="16"/>
        <v>2375.8148277293635</v>
      </c>
      <c r="E100" s="59">
        <f t="shared" si="22"/>
        <v>0</v>
      </c>
      <c r="F100" s="20">
        <f t="shared" si="17"/>
        <v>2375.8148277293635</v>
      </c>
      <c r="G100" s="20">
        <f t="shared" si="18"/>
        <v>493.986845813331</v>
      </c>
      <c r="H100" s="20">
        <f t="shared" si="23"/>
        <v>1881.8279819160325</v>
      </c>
      <c r="I100" s="20">
        <f t="shared" si="19"/>
        <v>334053.2099392591</v>
      </c>
      <c r="J100" s="73"/>
      <c r="K100" s="22">
        <f t="shared" si="24"/>
        <v>32246.790060740852</v>
      </c>
      <c r="L100" s="22">
        <f t="shared" si="25"/>
        <v>160194.21098533759</v>
      </c>
    </row>
    <row r="101" spans="1:12" ht="14.25" customHeight="1" x14ac:dyDescent="0.2">
      <c r="A101" s="15">
        <f t="shared" si="20"/>
        <v>82</v>
      </c>
      <c r="B101" s="16">
        <f t="shared" si="15"/>
        <v>47392</v>
      </c>
      <c r="C101" s="20">
        <f t="shared" si="21"/>
        <v>334053.2099392591</v>
      </c>
      <c r="D101" s="20">
        <f t="shared" si="16"/>
        <v>2375.8148277293635</v>
      </c>
      <c r="E101" s="59">
        <f t="shared" si="22"/>
        <v>0</v>
      </c>
      <c r="F101" s="20">
        <f t="shared" si="17"/>
        <v>2375.8148277293635</v>
      </c>
      <c r="G101" s="20">
        <f t="shared" si="18"/>
        <v>496.76552182103092</v>
      </c>
      <c r="H101" s="20">
        <f t="shared" si="23"/>
        <v>1879.0493059083326</v>
      </c>
      <c r="I101" s="20">
        <f t="shared" si="19"/>
        <v>333556.44441743806</v>
      </c>
      <c r="J101" s="73"/>
      <c r="K101" s="22">
        <f t="shared" si="24"/>
        <v>32743.555582561883</v>
      </c>
      <c r="L101" s="22">
        <f t="shared" si="25"/>
        <v>162073.26029124591</v>
      </c>
    </row>
    <row r="102" spans="1:12" ht="14.25" customHeight="1" x14ac:dyDescent="0.2">
      <c r="A102" s="15">
        <f t="shared" si="20"/>
        <v>83</v>
      </c>
      <c r="B102" s="16">
        <f t="shared" si="15"/>
        <v>47423</v>
      </c>
      <c r="C102" s="20">
        <f t="shared" si="21"/>
        <v>333556.44441743806</v>
      </c>
      <c r="D102" s="20">
        <f t="shared" si="16"/>
        <v>2375.8148277293635</v>
      </c>
      <c r="E102" s="59">
        <f t="shared" si="22"/>
        <v>0</v>
      </c>
      <c r="F102" s="20">
        <f t="shared" si="17"/>
        <v>2375.8148277293635</v>
      </c>
      <c r="G102" s="20">
        <f t="shared" si="18"/>
        <v>499.55982788127426</v>
      </c>
      <c r="H102" s="20">
        <f t="shared" si="23"/>
        <v>1876.2549998480893</v>
      </c>
      <c r="I102" s="20">
        <f t="shared" si="19"/>
        <v>333056.88458955678</v>
      </c>
      <c r="J102" s="73"/>
      <c r="K102" s="22">
        <f t="shared" si="24"/>
        <v>33243.115410443155</v>
      </c>
      <c r="L102" s="22">
        <f t="shared" si="25"/>
        <v>163949.51529109399</v>
      </c>
    </row>
    <row r="103" spans="1:12" ht="14.25" customHeight="1" x14ac:dyDescent="0.2">
      <c r="A103" s="15">
        <f t="shared" si="20"/>
        <v>84</v>
      </c>
      <c r="B103" s="16">
        <f t="shared" si="15"/>
        <v>47453</v>
      </c>
      <c r="C103" s="20">
        <f t="shared" si="21"/>
        <v>333056.88458955678</v>
      </c>
      <c r="D103" s="20">
        <f t="shared" si="16"/>
        <v>2375.8148277293635</v>
      </c>
      <c r="E103" s="59">
        <f t="shared" si="22"/>
        <v>0</v>
      </c>
      <c r="F103" s="20">
        <f t="shared" si="17"/>
        <v>2375.8148277293635</v>
      </c>
      <c r="G103" s="20">
        <f t="shared" si="18"/>
        <v>502.36985191310646</v>
      </c>
      <c r="H103" s="20">
        <f t="shared" si="23"/>
        <v>1873.4449758162571</v>
      </c>
      <c r="I103" s="20">
        <f t="shared" si="19"/>
        <v>332554.51473764365</v>
      </c>
      <c r="J103" s="73"/>
      <c r="K103" s="22">
        <f t="shared" si="24"/>
        <v>33745.485262356262</v>
      </c>
      <c r="L103" s="22">
        <f t="shared" si="25"/>
        <v>165822.96026691026</v>
      </c>
    </row>
    <row r="104" spans="1:12" ht="14.25" customHeight="1" x14ac:dyDescent="0.2">
      <c r="A104" s="15">
        <f t="shared" si="20"/>
        <v>85</v>
      </c>
      <c r="B104" s="16">
        <f t="shared" si="15"/>
        <v>47484</v>
      </c>
      <c r="C104" s="20">
        <f t="shared" si="21"/>
        <v>332554.51473764365</v>
      </c>
      <c r="D104" s="20">
        <f t="shared" si="16"/>
        <v>2375.8148277293635</v>
      </c>
      <c r="E104" s="59">
        <f t="shared" si="22"/>
        <v>0</v>
      </c>
      <c r="F104" s="20">
        <f t="shared" si="17"/>
        <v>2375.8148277293635</v>
      </c>
      <c r="G104" s="20">
        <f t="shared" si="18"/>
        <v>505.19568233011773</v>
      </c>
      <c r="H104" s="20">
        <f t="shared" si="23"/>
        <v>1870.6191453992458</v>
      </c>
      <c r="I104" s="20">
        <f t="shared" si="19"/>
        <v>332049.31905531354</v>
      </c>
      <c r="J104" s="73"/>
      <c r="K104" s="22">
        <f t="shared" si="24"/>
        <v>34250.680944686377</v>
      </c>
      <c r="L104" s="22">
        <f t="shared" si="25"/>
        <v>167693.57941230951</v>
      </c>
    </row>
    <row r="105" spans="1:12" ht="14.25" customHeight="1" x14ac:dyDescent="0.2">
      <c r="A105" s="15">
        <f t="shared" si="20"/>
        <v>86</v>
      </c>
      <c r="B105" s="16">
        <f t="shared" si="15"/>
        <v>47515</v>
      </c>
      <c r="C105" s="20">
        <f t="shared" si="21"/>
        <v>332049.31905531354</v>
      </c>
      <c r="D105" s="20">
        <f t="shared" si="16"/>
        <v>2375.8148277293635</v>
      </c>
      <c r="E105" s="59">
        <f t="shared" si="22"/>
        <v>0</v>
      </c>
      <c r="F105" s="20">
        <f t="shared" si="17"/>
        <v>2375.8148277293635</v>
      </c>
      <c r="G105" s="20">
        <f t="shared" si="18"/>
        <v>508.03740804322456</v>
      </c>
      <c r="H105" s="20">
        <f t="shared" si="23"/>
        <v>1867.777419686139</v>
      </c>
      <c r="I105" s="20">
        <f t="shared" si="19"/>
        <v>331541.28164727031</v>
      </c>
      <c r="J105" s="73"/>
      <c r="K105" s="22">
        <f t="shared" si="24"/>
        <v>34758.7183527296</v>
      </c>
      <c r="L105" s="22">
        <f t="shared" si="25"/>
        <v>169561.35683199565</v>
      </c>
    </row>
    <row r="106" spans="1:12" ht="14.25" customHeight="1" x14ac:dyDescent="0.2">
      <c r="A106" s="15">
        <f t="shared" si="20"/>
        <v>87</v>
      </c>
      <c r="B106" s="16">
        <f t="shared" si="15"/>
        <v>47543</v>
      </c>
      <c r="C106" s="20">
        <f t="shared" si="21"/>
        <v>331541.28164727031</v>
      </c>
      <c r="D106" s="20">
        <f t="shared" si="16"/>
        <v>2375.8148277293635</v>
      </c>
      <c r="E106" s="59">
        <f t="shared" si="22"/>
        <v>0</v>
      </c>
      <c r="F106" s="20">
        <f t="shared" si="17"/>
        <v>2375.8148277293635</v>
      </c>
      <c r="G106" s="20">
        <f t="shared" si="18"/>
        <v>510.89511846346772</v>
      </c>
      <c r="H106" s="20">
        <f t="shared" si="23"/>
        <v>1864.9197092658958</v>
      </c>
      <c r="I106" s="20">
        <f t="shared" si="19"/>
        <v>331030.38652880682</v>
      </c>
      <c r="J106" s="73"/>
      <c r="K106" s="22">
        <f t="shared" si="24"/>
        <v>35269.613471193064</v>
      </c>
      <c r="L106" s="22">
        <f t="shared" si="25"/>
        <v>171426.27654126156</v>
      </c>
    </row>
    <row r="107" spans="1:12" ht="14.25" customHeight="1" x14ac:dyDescent="0.2">
      <c r="A107" s="15">
        <f t="shared" si="20"/>
        <v>88</v>
      </c>
      <c r="B107" s="16">
        <f t="shared" si="15"/>
        <v>47574</v>
      </c>
      <c r="C107" s="20">
        <f t="shared" si="21"/>
        <v>331030.38652880682</v>
      </c>
      <c r="D107" s="20">
        <f t="shared" si="16"/>
        <v>2375.8148277293635</v>
      </c>
      <c r="E107" s="59">
        <f t="shared" si="22"/>
        <v>0</v>
      </c>
      <c r="F107" s="20">
        <f t="shared" si="17"/>
        <v>2375.8148277293635</v>
      </c>
      <c r="G107" s="20">
        <f t="shared" si="18"/>
        <v>513.76890350482495</v>
      </c>
      <c r="H107" s="20">
        <f t="shared" si="23"/>
        <v>1862.0459242245386</v>
      </c>
      <c r="I107" s="20">
        <f t="shared" si="19"/>
        <v>330516.61762530199</v>
      </c>
      <c r="J107" s="73"/>
      <c r="K107" s="22">
        <f t="shared" si="24"/>
        <v>35783.382374697889</v>
      </c>
      <c r="L107" s="22">
        <f t="shared" si="25"/>
        <v>173288.3224654861</v>
      </c>
    </row>
    <row r="108" spans="1:12" ht="14.25" customHeight="1" x14ac:dyDescent="0.2">
      <c r="A108" s="15">
        <f t="shared" si="20"/>
        <v>89</v>
      </c>
      <c r="B108" s="16">
        <f t="shared" si="15"/>
        <v>47604</v>
      </c>
      <c r="C108" s="20">
        <f t="shared" si="21"/>
        <v>330516.61762530199</v>
      </c>
      <c r="D108" s="20">
        <f t="shared" si="16"/>
        <v>2375.8148277293635</v>
      </c>
      <c r="E108" s="59">
        <f t="shared" si="22"/>
        <v>0</v>
      </c>
      <c r="F108" s="20">
        <f t="shared" si="17"/>
        <v>2375.8148277293635</v>
      </c>
      <c r="G108" s="20">
        <f t="shared" si="18"/>
        <v>516.65885358703986</v>
      </c>
      <c r="H108" s="20">
        <f t="shared" si="23"/>
        <v>1859.1559741423237</v>
      </c>
      <c r="I108" s="20">
        <f t="shared" si="19"/>
        <v>329999.95877171494</v>
      </c>
      <c r="J108" s="73"/>
      <c r="K108" s="22">
        <f t="shared" si="24"/>
        <v>36300.041228284928</v>
      </c>
      <c r="L108" s="22">
        <f t="shared" si="25"/>
        <v>175147.47843962841</v>
      </c>
    </row>
    <row r="109" spans="1:12" ht="14.25" customHeight="1" x14ac:dyDescent="0.2">
      <c r="A109" s="15">
        <f t="shared" si="20"/>
        <v>90</v>
      </c>
      <c r="B109" s="16">
        <f t="shared" si="15"/>
        <v>47635</v>
      </c>
      <c r="C109" s="20">
        <f t="shared" si="21"/>
        <v>329999.95877171494</v>
      </c>
      <c r="D109" s="20">
        <f t="shared" si="16"/>
        <v>2375.8148277293635</v>
      </c>
      <c r="E109" s="59">
        <f t="shared" si="22"/>
        <v>0</v>
      </c>
      <c r="F109" s="20">
        <f t="shared" si="17"/>
        <v>2375.8148277293635</v>
      </c>
      <c r="G109" s="20">
        <f t="shared" si="18"/>
        <v>519.56505963846689</v>
      </c>
      <c r="H109" s="20">
        <f t="shared" si="23"/>
        <v>1856.2497680908966</v>
      </c>
      <c r="I109" s="20">
        <f t="shared" si="19"/>
        <v>329480.39371207647</v>
      </c>
      <c r="J109" s="73"/>
      <c r="K109" s="22">
        <f t="shared" si="24"/>
        <v>36819.606287923394</v>
      </c>
      <c r="L109" s="22">
        <f t="shared" si="25"/>
        <v>177003.72820771931</v>
      </c>
    </row>
    <row r="110" spans="1:12" ht="14.25" customHeight="1" x14ac:dyDescent="0.2">
      <c r="A110" s="15">
        <f t="shared" si="20"/>
        <v>91</v>
      </c>
      <c r="B110" s="16">
        <f t="shared" si="15"/>
        <v>47665</v>
      </c>
      <c r="C110" s="20">
        <f t="shared" si="21"/>
        <v>329480.39371207647</v>
      </c>
      <c r="D110" s="20">
        <f t="shared" si="16"/>
        <v>2375.8148277293635</v>
      </c>
      <c r="E110" s="59">
        <f t="shared" si="22"/>
        <v>0</v>
      </c>
      <c r="F110" s="20">
        <f t="shared" si="17"/>
        <v>2375.8148277293635</v>
      </c>
      <c r="G110" s="20">
        <f t="shared" si="18"/>
        <v>522.48761309893302</v>
      </c>
      <c r="H110" s="20">
        <f t="shared" si="23"/>
        <v>1853.3272146304305</v>
      </c>
      <c r="I110" s="20">
        <f t="shared" si="19"/>
        <v>328957.90609897755</v>
      </c>
      <c r="J110" s="73"/>
      <c r="K110" s="22">
        <f t="shared" si="24"/>
        <v>37342.09390102233</v>
      </c>
      <c r="L110" s="22">
        <f t="shared" si="25"/>
        <v>178857.05542234975</v>
      </c>
    </row>
    <row r="111" spans="1:12" ht="14.25" customHeight="1" x14ac:dyDescent="0.2">
      <c r="A111" s="15">
        <f t="shared" si="20"/>
        <v>92</v>
      </c>
      <c r="B111" s="16">
        <f t="shared" si="15"/>
        <v>47696</v>
      </c>
      <c r="C111" s="20">
        <f t="shared" si="21"/>
        <v>328957.90609897755</v>
      </c>
      <c r="D111" s="20">
        <f t="shared" si="16"/>
        <v>2375.8148277293635</v>
      </c>
      <c r="E111" s="59">
        <f t="shared" si="22"/>
        <v>0</v>
      </c>
      <c r="F111" s="20">
        <f t="shared" si="17"/>
        <v>2375.8148277293635</v>
      </c>
      <c r="G111" s="20">
        <f t="shared" si="18"/>
        <v>525.4266059226145</v>
      </c>
      <c r="H111" s="20">
        <f t="shared" si="23"/>
        <v>1850.388221806749</v>
      </c>
      <c r="I111" s="20">
        <f t="shared" si="19"/>
        <v>328432.47949305491</v>
      </c>
      <c r="J111" s="73"/>
      <c r="K111" s="22">
        <f t="shared" si="24"/>
        <v>37867.520506944944</v>
      </c>
      <c r="L111" s="22">
        <f t="shared" si="25"/>
        <v>180707.4436441565</v>
      </c>
    </row>
    <row r="112" spans="1:12" ht="14.25" customHeight="1" x14ac:dyDescent="0.2">
      <c r="A112" s="15">
        <f t="shared" si="20"/>
        <v>93</v>
      </c>
      <c r="B112" s="16">
        <f t="shared" si="15"/>
        <v>47727</v>
      </c>
      <c r="C112" s="20">
        <f t="shared" si="21"/>
        <v>328432.47949305491</v>
      </c>
      <c r="D112" s="20">
        <f t="shared" si="16"/>
        <v>2375.8148277293635</v>
      </c>
      <c r="E112" s="59">
        <f t="shared" si="22"/>
        <v>0</v>
      </c>
      <c r="F112" s="20">
        <f t="shared" si="17"/>
        <v>2375.8148277293635</v>
      </c>
      <c r="G112" s="20">
        <f t="shared" si="18"/>
        <v>528.38213058092947</v>
      </c>
      <c r="H112" s="20">
        <f t="shared" si="23"/>
        <v>1847.432697148434</v>
      </c>
      <c r="I112" s="20">
        <f t="shared" si="19"/>
        <v>327904.09736247396</v>
      </c>
      <c r="J112" s="73"/>
      <c r="K112" s="22">
        <f t="shared" si="24"/>
        <v>38395.902637525876</v>
      </c>
      <c r="L112" s="22">
        <f t="shared" si="25"/>
        <v>182554.87634130495</v>
      </c>
    </row>
    <row r="113" spans="1:12" ht="14.25" customHeight="1" x14ac:dyDescent="0.2">
      <c r="A113" s="15">
        <f t="shared" si="20"/>
        <v>94</v>
      </c>
      <c r="B113" s="16">
        <f t="shared" si="15"/>
        <v>47757</v>
      </c>
      <c r="C113" s="20">
        <f t="shared" si="21"/>
        <v>327904.09736247396</v>
      </c>
      <c r="D113" s="20">
        <f t="shared" si="16"/>
        <v>2375.8148277293635</v>
      </c>
      <c r="E113" s="59">
        <f t="shared" si="22"/>
        <v>0</v>
      </c>
      <c r="F113" s="20">
        <f t="shared" si="17"/>
        <v>2375.8148277293635</v>
      </c>
      <c r="G113" s="20">
        <f t="shared" si="18"/>
        <v>531.35428006544726</v>
      </c>
      <c r="H113" s="20">
        <f t="shared" si="23"/>
        <v>1844.4605476639163</v>
      </c>
      <c r="I113" s="20">
        <f t="shared" si="19"/>
        <v>327372.7430824085</v>
      </c>
      <c r="J113" s="73"/>
      <c r="K113" s="22">
        <f t="shared" si="24"/>
        <v>38927.256917591323</v>
      </c>
      <c r="L113" s="22">
        <f t="shared" si="25"/>
        <v>184399.33688896886</v>
      </c>
    </row>
    <row r="114" spans="1:12" ht="14.25" customHeight="1" x14ac:dyDescent="0.2">
      <c r="A114" s="15">
        <f t="shared" si="20"/>
        <v>95</v>
      </c>
      <c r="B114" s="16">
        <f t="shared" si="15"/>
        <v>47788</v>
      </c>
      <c r="C114" s="20">
        <f t="shared" si="21"/>
        <v>327372.7430824085</v>
      </c>
      <c r="D114" s="20">
        <f t="shared" si="16"/>
        <v>2375.8148277293635</v>
      </c>
      <c r="E114" s="59">
        <f t="shared" si="22"/>
        <v>0</v>
      </c>
      <c r="F114" s="20">
        <f t="shared" si="17"/>
        <v>2375.8148277293635</v>
      </c>
      <c r="G114" s="20">
        <f t="shared" si="18"/>
        <v>534.34314789081554</v>
      </c>
      <c r="H114" s="20">
        <f t="shared" si="23"/>
        <v>1841.471679838548</v>
      </c>
      <c r="I114" s="20">
        <f t="shared" si="19"/>
        <v>326838.39993451769</v>
      </c>
      <c r="J114" s="73"/>
      <c r="K114" s="22">
        <f t="shared" si="24"/>
        <v>39461.60006548214</v>
      </c>
      <c r="L114" s="22">
        <f t="shared" si="25"/>
        <v>186240.80856880741</v>
      </c>
    </row>
    <row r="115" spans="1:12" ht="14.25" customHeight="1" x14ac:dyDescent="0.2">
      <c r="A115" s="15">
        <f t="shared" si="20"/>
        <v>96</v>
      </c>
      <c r="B115" s="16">
        <f t="shared" si="15"/>
        <v>47818</v>
      </c>
      <c r="C115" s="20">
        <f t="shared" si="21"/>
        <v>326838.39993451769</v>
      </c>
      <c r="D115" s="20">
        <f t="shared" si="16"/>
        <v>2375.8148277293635</v>
      </c>
      <c r="E115" s="59">
        <f t="shared" si="22"/>
        <v>0</v>
      </c>
      <c r="F115" s="20">
        <f t="shared" si="17"/>
        <v>2375.8148277293635</v>
      </c>
      <c r="G115" s="20">
        <f t="shared" si="18"/>
        <v>537.34882809770147</v>
      </c>
      <c r="H115" s="20">
        <f t="shared" si="23"/>
        <v>1838.465999631662</v>
      </c>
      <c r="I115" s="20">
        <f t="shared" si="19"/>
        <v>326301.05110642</v>
      </c>
      <c r="J115" s="73"/>
      <c r="K115" s="22">
        <f t="shared" si="24"/>
        <v>39998.948893579844</v>
      </c>
      <c r="L115" s="22">
        <f t="shared" si="25"/>
        <v>188079.27456843905</v>
      </c>
    </row>
    <row r="116" spans="1:12" ht="14.25" customHeight="1" x14ac:dyDescent="0.2">
      <c r="A116" s="15">
        <f t="shared" si="20"/>
        <v>97</v>
      </c>
      <c r="B116" s="16">
        <f t="shared" si="15"/>
        <v>47849</v>
      </c>
      <c r="C116" s="20">
        <f t="shared" si="21"/>
        <v>326301.05110642</v>
      </c>
      <c r="D116" s="20">
        <f t="shared" si="16"/>
        <v>2375.8148277293635</v>
      </c>
      <c r="E116" s="59">
        <f t="shared" si="22"/>
        <v>0</v>
      </c>
      <c r="F116" s="20">
        <f t="shared" si="17"/>
        <v>2375.8148277293635</v>
      </c>
      <c r="G116" s="20">
        <f t="shared" si="18"/>
        <v>540.37141525575089</v>
      </c>
      <c r="H116" s="20">
        <f t="shared" si="23"/>
        <v>1835.4434124736126</v>
      </c>
      <c r="I116" s="20">
        <f t="shared" si="19"/>
        <v>325760.67969116423</v>
      </c>
      <c r="J116" s="73"/>
      <c r="K116" s="22">
        <f t="shared" si="24"/>
        <v>40539.320308835595</v>
      </c>
      <c r="L116" s="22">
        <f t="shared" si="25"/>
        <v>189914.71798091265</v>
      </c>
    </row>
    <row r="117" spans="1:12" ht="14.25" customHeight="1" x14ac:dyDescent="0.2">
      <c r="A117" s="15">
        <f t="shared" si="20"/>
        <v>98</v>
      </c>
      <c r="B117" s="16">
        <f t="shared" si="15"/>
        <v>47880</v>
      </c>
      <c r="C117" s="20">
        <f t="shared" si="21"/>
        <v>325760.67969116423</v>
      </c>
      <c r="D117" s="20">
        <f t="shared" si="16"/>
        <v>2375.8148277293635</v>
      </c>
      <c r="E117" s="59">
        <f t="shared" si="22"/>
        <v>0</v>
      </c>
      <c r="F117" s="20">
        <f t="shared" si="17"/>
        <v>2375.8148277293635</v>
      </c>
      <c r="G117" s="20">
        <f t="shared" si="18"/>
        <v>543.41100446656446</v>
      </c>
      <c r="H117" s="20">
        <f t="shared" si="23"/>
        <v>1832.4038232627991</v>
      </c>
      <c r="I117" s="20">
        <f t="shared" si="19"/>
        <v>325217.26868669764</v>
      </c>
      <c r="J117" s="73"/>
      <c r="K117" s="22">
        <f t="shared" si="24"/>
        <v>41082.73131330216</v>
      </c>
      <c r="L117" s="22">
        <f t="shared" si="25"/>
        <v>191747.12180417546</v>
      </c>
    </row>
    <row r="118" spans="1:12" ht="14.25" customHeight="1" x14ac:dyDescent="0.2">
      <c r="A118" s="15">
        <f t="shared" si="20"/>
        <v>99</v>
      </c>
      <c r="B118" s="16">
        <f t="shared" si="15"/>
        <v>47908</v>
      </c>
      <c r="C118" s="20">
        <f t="shared" si="21"/>
        <v>325217.26868669764</v>
      </c>
      <c r="D118" s="20">
        <f t="shared" si="16"/>
        <v>2375.8148277293635</v>
      </c>
      <c r="E118" s="59">
        <f t="shared" si="22"/>
        <v>0</v>
      </c>
      <c r="F118" s="20">
        <f t="shared" si="17"/>
        <v>2375.8148277293635</v>
      </c>
      <c r="G118" s="20">
        <f t="shared" si="18"/>
        <v>546.46769136668922</v>
      </c>
      <c r="H118" s="20">
        <f t="shared" si="23"/>
        <v>1829.3471363626743</v>
      </c>
      <c r="I118" s="20">
        <f t="shared" si="19"/>
        <v>324670.80099533097</v>
      </c>
      <c r="J118" s="73"/>
      <c r="K118" s="22">
        <f t="shared" si="24"/>
        <v>41629.199004668852</v>
      </c>
      <c r="L118" s="22">
        <f t="shared" si="25"/>
        <v>193576.46894053815</v>
      </c>
    </row>
    <row r="119" spans="1:12" ht="14.25" customHeight="1" x14ac:dyDescent="0.2">
      <c r="A119" s="15">
        <f t="shared" si="20"/>
        <v>100</v>
      </c>
      <c r="B119" s="16">
        <f t="shared" si="15"/>
        <v>47939</v>
      </c>
      <c r="C119" s="20">
        <f t="shared" si="21"/>
        <v>324670.80099533097</v>
      </c>
      <c r="D119" s="20">
        <f t="shared" si="16"/>
        <v>2375.8148277293635</v>
      </c>
      <c r="E119" s="59">
        <f t="shared" si="22"/>
        <v>0</v>
      </c>
      <c r="F119" s="20">
        <f t="shared" si="17"/>
        <v>2375.8148277293635</v>
      </c>
      <c r="G119" s="20">
        <f t="shared" si="18"/>
        <v>549.54157213062672</v>
      </c>
      <c r="H119" s="20">
        <f t="shared" si="23"/>
        <v>1826.2732555987368</v>
      </c>
      <c r="I119" s="20">
        <f t="shared" si="19"/>
        <v>324121.25942320033</v>
      </c>
      <c r="J119" s="73"/>
      <c r="K119" s="22">
        <f t="shared" si="24"/>
        <v>42178.740576799479</v>
      </c>
      <c r="L119" s="22">
        <f t="shared" si="25"/>
        <v>195402.74219613688</v>
      </c>
    </row>
    <row r="120" spans="1:12" ht="14.25" customHeight="1" x14ac:dyDescent="0.2">
      <c r="A120" s="15">
        <f t="shared" si="20"/>
        <v>101</v>
      </c>
      <c r="B120" s="16">
        <f t="shared" si="15"/>
        <v>47969</v>
      </c>
      <c r="C120" s="20">
        <f t="shared" si="21"/>
        <v>324121.25942320033</v>
      </c>
      <c r="D120" s="20">
        <f t="shared" si="16"/>
        <v>2375.8148277293635</v>
      </c>
      <c r="E120" s="59">
        <f t="shared" si="22"/>
        <v>0</v>
      </c>
      <c r="F120" s="20">
        <f t="shared" si="17"/>
        <v>2375.8148277293635</v>
      </c>
      <c r="G120" s="20">
        <f t="shared" si="18"/>
        <v>552.63274347386164</v>
      </c>
      <c r="H120" s="20">
        <f t="shared" si="23"/>
        <v>1823.1820842555019</v>
      </c>
      <c r="I120" s="20">
        <f t="shared" si="19"/>
        <v>323568.62667972647</v>
      </c>
      <c r="J120" s="73"/>
      <c r="K120" s="22">
        <f t="shared" si="24"/>
        <v>42731.373320273342</v>
      </c>
      <c r="L120" s="22">
        <f t="shared" si="25"/>
        <v>197225.92428039238</v>
      </c>
    </row>
    <row r="121" spans="1:12" ht="14.25" customHeight="1" x14ac:dyDescent="0.2">
      <c r="A121" s="15">
        <f t="shared" si="20"/>
        <v>102</v>
      </c>
      <c r="B121" s="16">
        <f t="shared" si="15"/>
        <v>48000</v>
      </c>
      <c r="C121" s="20">
        <f t="shared" si="21"/>
        <v>323568.62667972647</v>
      </c>
      <c r="D121" s="20">
        <f t="shared" si="16"/>
        <v>2375.8148277293635</v>
      </c>
      <c r="E121" s="59">
        <f t="shared" si="22"/>
        <v>0</v>
      </c>
      <c r="F121" s="20">
        <f t="shared" si="17"/>
        <v>2375.8148277293635</v>
      </c>
      <c r="G121" s="20">
        <f t="shared" si="18"/>
        <v>555.74130265590202</v>
      </c>
      <c r="H121" s="20">
        <f t="shared" si="23"/>
        <v>1820.0735250734615</v>
      </c>
      <c r="I121" s="20">
        <f t="shared" si="19"/>
        <v>323012.88537707058</v>
      </c>
      <c r="J121" s="73"/>
      <c r="K121" s="22">
        <f t="shared" si="24"/>
        <v>43287.114622929243</v>
      </c>
      <c r="L121" s="22">
        <f t="shared" si="25"/>
        <v>199045.99780546586</v>
      </c>
    </row>
    <row r="122" spans="1:12" ht="14.25" customHeight="1" x14ac:dyDescent="0.2">
      <c r="A122" s="15">
        <f t="shared" si="20"/>
        <v>103</v>
      </c>
      <c r="B122" s="16">
        <f t="shared" si="15"/>
        <v>48030</v>
      </c>
      <c r="C122" s="20">
        <f t="shared" si="21"/>
        <v>323012.88537707058</v>
      </c>
      <c r="D122" s="20">
        <f t="shared" si="16"/>
        <v>2375.8148277293635</v>
      </c>
      <c r="E122" s="59">
        <f t="shared" si="22"/>
        <v>0</v>
      </c>
      <c r="F122" s="20">
        <f t="shared" si="17"/>
        <v>2375.8148277293635</v>
      </c>
      <c r="G122" s="20">
        <f t="shared" si="18"/>
        <v>558.86734748334152</v>
      </c>
      <c r="H122" s="20">
        <f t="shared" si="23"/>
        <v>1816.947480246022</v>
      </c>
      <c r="I122" s="20">
        <f t="shared" si="19"/>
        <v>322454.01802958723</v>
      </c>
      <c r="J122" s="73"/>
      <c r="K122" s="22">
        <f t="shared" si="24"/>
        <v>43845.981970412584</v>
      </c>
      <c r="L122" s="22">
        <f t="shared" si="25"/>
        <v>200862.94528571187</v>
      </c>
    </row>
    <row r="123" spans="1:12" ht="14.25" customHeight="1" x14ac:dyDescent="0.2">
      <c r="A123" s="15">
        <f t="shared" si="20"/>
        <v>104</v>
      </c>
      <c r="B123" s="16">
        <f t="shared" si="15"/>
        <v>48061</v>
      </c>
      <c r="C123" s="20">
        <f t="shared" si="21"/>
        <v>322454.01802958723</v>
      </c>
      <c r="D123" s="20">
        <f t="shared" si="16"/>
        <v>2375.8148277293635</v>
      </c>
      <c r="E123" s="59">
        <f t="shared" si="22"/>
        <v>0</v>
      </c>
      <c r="F123" s="20">
        <f t="shared" si="17"/>
        <v>2375.8148277293635</v>
      </c>
      <c r="G123" s="20">
        <f t="shared" si="18"/>
        <v>562.01097631293533</v>
      </c>
      <c r="H123" s="20">
        <f t="shared" si="23"/>
        <v>1813.8038514164282</v>
      </c>
      <c r="I123" s="20">
        <f t="shared" si="19"/>
        <v>321892.00705327431</v>
      </c>
      <c r="J123" s="73"/>
      <c r="K123" s="22">
        <f t="shared" si="24"/>
        <v>44407.992946725521</v>
      </c>
      <c r="L123" s="22">
        <f t="shared" si="25"/>
        <v>202676.7491371283</v>
      </c>
    </row>
    <row r="124" spans="1:12" ht="14.25" customHeight="1" x14ac:dyDescent="0.2">
      <c r="A124" s="15">
        <f t="shared" si="20"/>
        <v>105</v>
      </c>
      <c r="B124" s="16">
        <f t="shared" si="15"/>
        <v>48092</v>
      </c>
      <c r="C124" s="20">
        <f t="shared" si="21"/>
        <v>321892.00705327431</v>
      </c>
      <c r="D124" s="20">
        <f t="shared" si="16"/>
        <v>2375.8148277293635</v>
      </c>
      <c r="E124" s="59">
        <f t="shared" si="22"/>
        <v>0</v>
      </c>
      <c r="F124" s="20">
        <f t="shared" si="17"/>
        <v>2375.8148277293635</v>
      </c>
      <c r="G124" s="20">
        <f t="shared" si="18"/>
        <v>565.1722880546954</v>
      </c>
      <c r="H124" s="20">
        <f t="shared" si="23"/>
        <v>1810.6425396746681</v>
      </c>
      <c r="I124" s="20">
        <f t="shared" si="19"/>
        <v>321326.8347652196</v>
      </c>
      <c r="J124" s="73"/>
      <c r="K124" s="22">
        <f t="shared" si="24"/>
        <v>44973.165234780216</v>
      </c>
      <c r="L124" s="22">
        <f t="shared" si="25"/>
        <v>204487.39167680297</v>
      </c>
    </row>
    <row r="125" spans="1:12" ht="14.25" customHeight="1" x14ac:dyDescent="0.2">
      <c r="A125" s="15">
        <f t="shared" si="20"/>
        <v>106</v>
      </c>
      <c r="B125" s="16">
        <f t="shared" si="15"/>
        <v>48122</v>
      </c>
      <c r="C125" s="20">
        <f t="shared" si="21"/>
        <v>321326.8347652196</v>
      </c>
      <c r="D125" s="20">
        <f t="shared" si="16"/>
        <v>2375.8148277293635</v>
      </c>
      <c r="E125" s="59">
        <f t="shared" si="22"/>
        <v>0</v>
      </c>
      <c r="F125" s="20">
        <f t="shared" si="17"/>
        <v>2375.8148277293635</v>
      </c>
      <c r="G125" s="20">
        <f t="shared" si="18"/>
        <v>568.35138217500321</v>
      </c>
      <c r="H125" s="20">
        <f t="shared" si="23"/>
        <v>1807.4634455543603</v>
      </c>
      <c r="I125" s="20">
        <f t="shared" si="19"/>
        <v>320758.4833830446</v>
      </c>
      <c r="J125" s="73"/>
      <c r="K125" s="22">
        <f t="shared" si="24"/>
        <v>45541.516616955218</v>
      </c>
      <c r="L125" s="22">
        <f t="shared" si="25"/>
        <v>206294.85512235734</v>
      </c>
    </row>
    <row r="126" spans="1:12" ht="14.25" customHeight="1" x14ac:dyDescent="0.2">
      <c r="A126" s="15">
        <f t="shared" si="20"/>
        <v>107</v>
      </c>
      <c r="B126" s="16">
        <f t="shared" si="15"/>
        <v>48153</v>
      </c>
      <c r="C126" s="20">
        <f t="shared" si="21"/>
        <v>320758.4833830446</v>
      </c>
      <c r="D126" s="20">
        <f t="shared" si="16"/>
        <v>2375.8148277293635</v>
      </c>
      <c r="E126" s="59">
        <f t="shared" si="22"/>
        <v>0</v>
      </c>
      <c r="F126" s="20">
        <f t="shared" si="17"/>
        <v>2375.8148277293635</v>
      </c>
      <c r="G126" s="20">
        <f t="shared" si="18"/>
        <v>571.54835869973749</v>
      </c>
      <c r="H126" s="20">
        <f t="shared" si="23"/>
        <v>1804.266469029626</v>
      </c>
      <c r="I126" s="20">
        <f t="shared" si="19"/>
        <v>320186.93502434489</v>
      </c>
      <c r="J126" s="73"/>
      <c r="K126" s="22">
        <f t="shared" si="24"/>
        <v>46113.064975654954</v>
      </c>
      <c r="L126" s="22">
        <f t="shared" si="25"/>
        <v>208099.12159138697</v>
      </c>
    </row>
    <row r="127" spans="1:12" ht="14.25" customHeight="1" x14ac:dyDescent="0.2">
      <c r="A127" s="15">
        <f t="shared" si="20"/>
        <v>108</v>
      </c>
      <c r="B127" s="16">
        <f t="shared" si="15"/>
        <v>48183</v>
      </c>
      <c r="C127" s="20">
        <f t="shared" si="21"/>
        <v>320186.93502434489</v>
      </c>
      <c r="D127" s="20">
        <f t="shared" si="16"/>
        <v>2375.8148277293635</v>
      </c>
      <c r="E127" s="59">
        <f t="shared" si="22"/>
        <v>0</v>
      </c>
      <c r="F127" s="20">
        <f t="shared" si="17"/>
        <v>2375.8148277293635</v>
      </c>
      <c r="G127" s="20">
        <f t="shared" si="18"/>
        <v>574.76331821742338</v>
      </c>
      <c r="H127" s="20">
        <f t="shared" si="23"/>
        <v>1801.0515095119401</v>
      </c>
      <c r="I127" s="20">
        <f t="shared" si="19"/>
        <v>319612.17170612747</v>
      </c>
      <c r="J127" s="73"/>
      <c r="K127" s="22">
        <f t="shared" si="24"/>
        <v>46687.828293872379</v>
      </c>
      <c r="L127" s="22">
        <f t="shared" si="25"/>
        <v>209900.17310089892</v>
      </c>
    </row>
    <row r="128" spans="1:12" ht="14.25" customHeight="1" x14ac:dyDescent="0.2">
      <c r="A128" s="15">
        <f t="shared" si="20"/>
        <v>109</v>
      </c>
      <c r="B128" s="16">
        <f t="shared" si="15"/>
        <v>48214</v>
      </c>
      <c r="C128" s="20">
        <f t="shared" si="21"/>
        <v>319612.17170612747</v>
      </c>
      <c r="D128" s="20">
        <f t="shared" si="16"/>
        <v>2375.8148277293635</v>
      </c>
      <c r="E128" s="59">
        <f t="shared" si="22"/>
        <v>0</v>
      </c>
      <c r="F128" s="20">
        <f t="shared" si="17"/>
        <v>2375.8148277293635</v>
      </c>
      <c r="G128" s="20">
        <f t="shared" si="18"/>
        <v>577.99636188239629</v>
      </c>
      <c r="H128" s="20">
        <f t="shared" si="23"/>
        <v>1797.8184658469672</v>
      </c>
      <c r="I128" s="20">
        <f t="shared" si="19"/>
        <v>319034.1753442451</v>
      </c>
      <c r="J128" s="73"/>
      <c r="K128" s="22">
        <f t="shared" si="24"/>
        <v>47265.824655754775</v>
      </c>
      <c r="L128" s="22">
        <f t="shared" si="25"/>
        <v>211697.99156674588</v>
      </c>
    </row>
    <row r="129" spans="1:12" ht="14.25" customHeight="1" x14ac:dyDescent="0.2">
      <c r="A129" s="15">
        <f t="shared" si="20"/>
        <v>110</v>
      </c>
      <c r="B129" s="16">
        <f t="shared" si="15"/>
        <v>48245</v>
      </c>
      <c r="C129" s="20">
        <f t="shared" si="21"/>
        <v>319034.1753442451</v>
      </c>
      <c r="D129" s="20">
        <f t="shared" si="16"/>
        <v>2375.8148277293635</v>
      </c>
      <c r="E129" s="59">
        <f t="shared" si="22"/>
        <v>0</v>
      </c>
      <c r="F129" s="20">
        <f t="shared" si="17"/>
        <v>2375.8148277293635</v>
      </c>
      <c r="G129" s="20">
        <f t="shared" si="18"/>
        <v>581.24759141798472</v>
      </c>
      <c r="H129" s="20">
        <f t="shared" si="23"/>
        <v>1794.5672363113788</v>
      </c>
      <c r="I129" s="20">
        <f t="shared" si="19"/>
        <v>318452.92775282712</v>
      </c>
      <c r="J129" s="73"/>
      <c r="K129" s="22">
        <f t="shared" si="24"/>
        <v>47847.072247172757</v>
      </c>
      <c r="L129" s="22">
        <f t="shared" si="25"/>
        <v>213492.55880305727</v>
      </c>
    </row>
    <row r="130" spans="1:12" ht="14.25" customHeight="1" x14ac:dyDescent="0.2">
      <c r="A130" s="15">
        <f t="shared" si="20"/>
        <v>111</v>
      </c>
      <c r="B130" s="16">
        <f t="shared" si="15"/>
        <v>48274</v>
      </c>
      <c r="C130" s="20">
        <f t="shared" si="21"/>
        <v>318452.92775282712</v>
      </c>
      <c r="D130" s="20">
        <f t="shared" si="16"/>
        <v>2375.8148277293635</v>
      </c>
      <c r="E130" s="59">
        <f t="shared" si="22"/>
        <v>0</v>
      </c>
      <c r="F130" s="20">
        <f t="shared" si="17"/>
        <v>2375.8148277293635</v>
      </c>
      <c r="G130" s="20">
        <f t="shared" si="18"/>
        <v>584.51710911971099</v>
      </c>
      <c r="H130" s="20">
        <f t="shared" si="23"/>
        <v>1791.2977186096525</v>
      </c>
      <c r="I130" s="20">
        <f t="shared" si="19"/>
        <v>317868.41064370744</v>
      </c>
      <c r="J130" s="73"/>
      <c r="K130" s="22">
        <f t="shared" si="24"/>
        <v>48431.589356292468</v>
      </c>
      <c r="L130" s="22">
        <f t="shared" si="25"/>
        <v>215283.85652166692</v>
      </c>
    </row>
    <row r="131" spans="1:12" ht="14.25" customHeight="1" x14ac:dyDescent="0.2">
      <c r="A131" s="15">
        <f t="shared" si="20"/>
        <v>112</v>
      </c>
      <c r="B131" s="16">
        <f t="shared" si="15"/>
        <v>48305</v>
      </c>
      <c r="C131" s="20">
        <f t="shared" si="21"/>
        <v>317868.41064370744</v>
      </c>
      <c r="D131" s="20">
        <f t="shared" si="16"/>
        <v>2375.8148277293635</v>
      </c>
      <c r="E131" s="59">
        <f t="shared" si="22"/>
        <v>0</v>
      </c>
      <c r="F131" s="20">
        <f t="shared" si="17"/>
        <v>2375.8148277293635</v>
      </c>
      <c r="G131" s="20">
        <f t="shared" si="18"/>
        <v>587.80501785850925</v>
      </c>
      <c r="H131" s="20">
        <f t="shared" si="23"/>
        <v>1788.0098098708543</v>
      </c>
      <c r="I131" s="20">
        <f t="shared" si="19"/>
        <v>317280.60562584893</v>
      </c>
      <c r="J131" s="73"/>
      <c r="K131" s="22">
        <f t="shared" si="24"/>
        <v>49019.394374150979</v>
      </c>
      <c r="L131" s="22">
        <f t="shared" si="25"/>
        <v>217071.86633153778</v>
      </c>
    </row>
    <row r="132" spans="1:12" ht="14.25" customHeight="1" x14ac:dyDescent="0.2">
      <c r="A132" s="15">
        <f t="shared" si="20"/>
        <v>113</v>
      </c>
      <c r="B132" s="16">
        <f t="shared" si="15"/>
        <v>48335</v>
      </c>
      <c r="C132" s="20">
        <f t="shared" si="21"/>
        <v>317280.60562584893</v>
      </c>
      <c r="D132" s="20">
        <f t="shared" si="16"/>
        <v>2375.8148277293635</v>
      </c>
      <c r="E132" s="59">
        <f t="shared" si="22"/>
        <v>0</v>
      </c>
      <c r="F132" s="20">
        <f t="shared" si="17"/>
        <v>2375.8148277293635</v>
      </c>
      <c r="G132" s="20">
        <f t="shared" si="18"/>
        <v>591.11142108396302</v>
      </c>
      <c r="H132" s="20">
        <f t="shared" si="23"/>
        <v>1784.7034066454005</v>
      </c>
      <c r="I132" s="20">
        <f t="shared" si="19"/>
        <v>316689.49420476495</v>
      </c>
      <c r="J132" s="73"/>
      <c r="K132" s="22">
        <f t="shared" si="24"/>
        <v>49610.505795234945</v>
      </c>
      <c r="L132" s="22">
        <f t="shared" si="25"/>
        <v>218856.56973818317</v>
      </c>
    </row>
    <row r="133" spans="1:12" ht="14.25" customHeight="1" x14ac:dyDescent="0.2">
      <c r="A133" s="15">
        <f t="shared" si="20"/>
        <v>114</v>
      </c>
      <c r="B133" s="16">
        <f t="shared" si="15"/>
        <v>48366</v>
      </c>
      <c r="C133" s="20">
        <f t="shared" si="21"/>
        <v>316689.49420476495</v>
      </c>
      <c r="D133" s="20">
        <f t="shared" si="16"/>
        <v>2375.8148277293635</v>
      </c>
      <c r="E133" s="59">
        <f t="shared" si="22"/>
        <v>0</v>
      </c>
      <c r="F133" s="20">
        <f t="shared" si="17"/>
        <v>2375.8148277293635</v>
      </c>
      <c r="G133" s="20">
        <f t="shared" si="18"/>
        <v>594.43642282756059</v>
      </c>
      <c r="H133" s="20">
        <f t="shared" si="23"/>
        <v>1781.3784049018029</v>
      </c>
      <c r="I133" s="20">
        <f t="shared" si="19"/>
        <v>316095.05778193742</v>
      </c>
      <c r="J133" s="73"/>
      <c r="K133" s="22">
        <f t="shared" si="24"/>
        <v>50204.942218062504</v>
      </c>
      <c r="L133" s="22">
        <f t="shared" si="25"/>
        <v>220637.94814308497</v>
      </c>
    </row>
    <row r="134" spans="1:12" ht="14.25" customHeight="1" x14ac:dyDescent="0.2">
      <c r="A134" s="15">
        <f t="shared" si="20"/>
        <v>115</v>
      </c>
      <c r="B134" s="16">
        <f t="shared" si="15"/>
        <v>48396</v>
      </c>
      <c r="C134" s="20">
        <f t="shared" si="21"/>
        <v>316095.05778193742</v>
      </c>
      <c r="D134" s="20">
        <f t="shared" si="16"/>
        <v>2375.8148277293635</v>
      </c>
      <c r="E134" s="59">
        <f t="shared" si="22"/>
        <v>0</v>
      </c>
      <c r="F134" s="20">
        <f t="shared" si="17"/>
        <v>2375.8148277293635</v>
      </c>
      <c r="G134" s="20">
        <f t="shared" si="18"/>
        <v>597.78012770596547</v>
      </c>
      <c r="H134" s="20">
        <f t="shared" si="23"/>
        <v>1778.034700023398</v>
      </c>
      <c r="I134" s="20">
        <f t="shared" si="19"/>
        <v>315497.27765423147</v>
      </c>
      <c r="J134" s="73"/>
      <c r="K134" s="22">
        <f t="shared" si="24"/>
        <v>50802.722345768467</v>
      </c>
      <c r="L134" s="22">
        <f t="shared" si="25"/>
        <v>222415.98284310836</v>
      </c>
    </row>
    <row r="135" spans="1:12" ht="14.25" customHeight="1" x14ac:dyDescent="0.2">
      <c r="A135" s="15">
        <f t="shared" si="20"/>
        <v>116</v>
      </c>
      <c r="B135" s="16">
        <f t="shared" si="15"/>
        <v>48427</v>
      </c>
      <c r="C135" s="20">
        <f t="shared" si="21"/>
        <v>315497.27765423147</v>
      </c>
      <c r="D135" s="20">
        <f t="shared" si="16"/>
        <v>2375.8148277293635</v>
      </c>
      <c r="E135" s="59">
        <f t="shared" si="22"/>
        <v>0</v>
      </c>
      <c r="F135" s="20">
        <f t="shared" si="17"/>
        <v>2375.8148277293635</v>
      </c>
      <c r="G135" s="20">
        <f t="shared" si="18"/>
        <v>601.14264092431154</v>
      </c>
      <c r="H135" s="20">
        <f t="shared" si="23"/>
        <v>1774.672186805052</v>
      </c>
      <c r="I135" s="20">
        <f t="shared" si="19"/>
        <v>314896.13501330715</v>
      </c>
      <c r="J135" s="73"/>
      <c r="K135" s="22">
        <f t="shared" si="24"/>
        <v>51403.864986692781</v>
      </c>
      <c r="L135" s="22">
        <f t="shared" si="25"/>
        <v>224190.65502991341</v>
      </c>
    </row>
    <row r="136" spans="1:12" ht="14.25" customHeight="1" x14ac:dyDescent="0.2">
      <c r="A136" s="15">
        <f t="shared" si="20"/>
        <v>117</v>
      </c>
      <c r="B136" s="16">
        <f t="shared" si="15"/>
        <v>48458</v>
      </c>
      <c r="C136" s="20">
        <f t="shared" si="21"/>
        <v>314896.13501330715</v>
      </c>
      <c r="D136" s="20">
        <f t="shared" si="16"/>
        <v>2375.8148277293635</v>
      </c>
      <c r="E136" s="59">
        <f t="shared" si="22"/>
        <v>0</v>
      </c>
      <c r="F136" s="20">
        <f t="shared" si="17"/>
        <v>2375.8148277293635</v>
      </c>
      <c r="G136" s="20">
        <f t="shared" si="18"/>
        <v>604.52406827951063</v>
      </c>
      <c r="H136" s="20">
        <f t="shared" si="23"/>
        <v>1771.2907594498529</v>
      </c>
      <c r="I136" s="20">
        <f t="shared" si="19"/>
        <v>314291.61094502767</v>
      </c>
      <c r="J136" s="73"/>
      <c r="K136" s="22">
        <f t="shared" si="24"/>
        <v>52008.389054972293</v>
      </c>
      <c r="L136" s="22">
        <f t="shared" si="25"/>
        <v>225961.94578936326</v>
      </c>
    </row>
    <row r="137" spans="1:12" ht="14.25" customHeight="1" x14ac:dyDescent="0.2">
      <c r="A137" s="15">
        <f t="shared" si="20"/>
        <v>118</v>
      </c>
      <c r="B137" s="16">
        <f t="shared" si="15"/>
        <v>48488</v>
      </c>
      <c r="C137" s="20">
        <f t="shared" si="21"/>
        <v>314291.61094502767</v>
      </c>
      <c r="D137" s="20">
        <f t="shared" si="16"/>
        <v>2375.8148277293635</v>
      </c>
      <c r="E137" s="59">
        <f t="shared" si="22"/>
        <v>0</v>
      </c>
      <c r="F137" s="20">
        <f t="shared" si="17"/>
        <v>2375.8148277293635</v>
      </c>
      <c r="G137" s="20">
        <f t="shared" si="18"/>
        <v>607.92451616358289</v>
      </c>
      <c r="H137" s="20">
        <f t="shared" si="23"/>
        <v>1767.8903115657806</v>
      </c>
      <c r="I137" s="20">
        <f t="shared" si="19"/>
        <v>313683.68642886408</v>
      </c>
      <c r="J137" s="73"/>
      <c r="K137" s="22">
        <f t="shared" si="24"/>
        <v>52616.313571135877</v>
      </c>
      <c r="L137" s="22">
        <f t="shared" si="25"/>
        <v>227729.83610092904</v>
      </c>
    </row>
    <row r="138" spans="1:12" ht="14.25" customHeight="1" x14ac:dyDescent="0.2">
      <c r="A138" s="15">
        <f t="shared" si="20"/>
        <v>119</v>
      </c>
      <c r="B138" s="16">
        <f t="shared" si="15"/>
        <v>48519</v>
      </c>
      <c r="C138" s="20">
        <f t="shared" si="21"/>
        <v>313683.68642886408</v>
      </c>
      <c r="D138" s="20">
        <f t="shared" si="16"/>
        <v>2375.8148277293635</v>
      </c>
      <c r="E138" s="59">
        <f t="shared" si="22"/>
        <v>0</v>
      </c>
      <c r="F138" s="20">
        <f t="shared" si="17"/>
        <v>2375.8148277293635</v>
      </c>
      <c r="G138" s="20">
        <f t="shared" si="18"/>
        <v>611.34409156700303</v>
      </c>
      <c r="H138" s="20">
        <f t="shared" si="23"/>
        <v>1764.4707361623605</v>
      </c>
      <c r="I138" s="20">
        <f t="shared" si="19"/>
        <v>313072.3423372971</v>
      </c>
      <c r="J138" s="73"/>
      <c r="K138" s="22">
        <f t="shared" si="24"/>
        <v>53227.657662702877</v>
      </c>
      <c r="L138" s="22">
        <f t="shared" si="25"/>
        <v>229494.3068370914</v>
      </c>
    </row>
    <row r="139" spans="1:12" ht="14.25" customHeight="1" x14ac:dyDescent="0.2">
      <c r="A139" s="15">
        <f t="shared" si="20"/>
        <v>120</v>
      </c>
      <c r="B139" s="16">
        <f t="shared" si="15"/>
        <v>48549</v>
      </c>
      <c r="C139" s="20">
        <f t="shared" si="21"/>
        <v>313072.3423372971</v>
      </c>
      <c r="D139" s="20">
        <f t="shared" si="16"/>
        <v>2375.8148277293635</v>
      </c>
      <c r="E139" s="59">
        <f t="shared" si="22"/>
        <v>0</v>
      </c>
      <c r="F139" s="20">
        <f t="shared" si="17"/>
        <v>2375.8148277293635</v>
      </c>
      <c r="G139" s="20">
        <f t="shared" si="18"/>
        <v>614.78290208206704</v>
      </c>
      <c r="H139" s="20">
        <f t="shared" si="23"/>
        <v>1761.0319256472965</v>
      </c>
      <c r="I139" s="20">
        <f t="shared" si="19"/>
        <v>312457.55943521502</v>
      </c>
      <c r="J139" s="73"/>
      <c r="K139" s="22">
        <f t="shared" si="24"/>
        <v>53842.440564784942</v>
      </c>
      <c r="L139" s="22">
        <f t="shared" si="25"/>
        <v>231255.33876273868</v>
      </c>
    </row>
    <row r="140" spans="1:12" ht="14.25" customHeight="1" x14ac:dyDescent="0.2">
      <c r="A140" s="15">
        <f t="shared" si="20"/>
        <v>121</v>
      </c>
      <c r="B140" s="16">
        <f t="shared" si="15"/>
        <v>48580</v>
      </c>
      <c r="C140" s="20">
        <f t="shared" si="21"/>
        <v>312457.55943521502</v>
      </c>
      <c r="D140" s="20">
        <f t="shared" si="16"/>
        <v>2375.8148277293635</v>
      </c>
      <c r="E140" s="59">
        <f t="shared" si="22"/>
        <v>0</v>
      </c>
      <c r="F140" s="20">
        <f t="shared" si="17"/>
        <v>2375.8148277293635</v>
      </c>
      <c r="G140" s="20">
        <f t="shared" si="18"/>
        <v>618.24105590627892</v>
      </c>
      <c r="H140" s="20">
        <f t="shared" si="23"/>
        <v>1757.5737718230846</v>
      </c>
      <c r="I140" s="20">
        <f t="shared" si="19"/>
        <v>311839.31837930874</v>
      </c>
      <c r="J140" s="73"/>
      <c r="K140" s="22">
        <f t="shared" si="24"/>
        <v>54460.681620691219</v>
      </c>
      <c r="L140" s="22">
        <f t="shared" si="25"/>
        <v>233012.91253456176</v>
      </c>
    </row>
    <row r="141" spans="1:12" ht="14.25" customHeight="1" x14ac:dyDescent="0.2">
      <c r="A141" s="15">
        <f t="shared" si="20"/>
        <v>122</v>
      </c>
      <c r="B141" s="16">
        <f t="shared" si="15"/>
        <v>48611</v>
      </c>
      <c r="C141" s="20">
        <f t="shared" si="21"/>
        <v>311839.31837930874</v>
      </c>
      <c r="D141" s="20">
        <f t="shared" si="16"/>
        <v>2375.8148277293635</v>
      </c>
      <c r="E141" s="59">
        <f t="shared" si="22"/>
        <v>0</v>
      </c>
      <c r="F141" s="20">
        <f t="shared" si="17"/>
        <v>2375.8148277293635</v>
      </c>
      <c r="G141" s="20">
        <f t="shared" si="18"/>
        <v>621.71866184575197</v>
      </c>
      <c r="H141" s="20">
        <f t="shared" si="23"/>
        <v>1754.0961658836115</v>
      </c>
      <c r="I141" s="20">
        <f t="shared" si="19"/>
        <v>311217.59971746296</v>
      </c>
      <c r="J141" s="73"/>
      <c r="K141" s="22">
        <f t="shared" si="24"/>
        <v>55082.400282536968</v>
      </c>
      <c r="L141" s="22">
        <f t="shared" si="25"/>
        <v>234767.00870044538</v>
      </c>
    </row>
    <row r="142" spans="1:12" ht="14.25" customHeight="1" x14ac:dyDescent="0.2">
      <c r="A142" s="15">
        <f t="shared" si="20"/>
        <v>123</v>
      </c>
      <c r="B142" s="16">
        <f t="shared" si="15"/>
        <v>48639</v>
      </c>
      <c r="C142" s="20">
        <f t="shared" si="21"/>
        <v>311217.59971746296</v>
      </c>
      <c r="D142" s="20">
        <f t="shared" si="16"/>
        <v>2375.8148277293635</v>
      </c>
      <c r="E142" s="59">
        <f t="shared" si="22"/>
        <v>0</v>
      </c>
      <c r="F142" s="20">
        <f t="shared" si="17"/>
        <v>2375.8148277293635</v>
      </c>
      <c r="G142" s="20">
        <f t="shared" si="18"/>
        <v>625.21582931863441</v>
      </c>
      <c r="H142" s="20">
        <f t="shared" si="23"/>
        <v>1750.5989984107291</v>
      </c>
      <c r="I142" s="20">
        <f t="shared" si="19"/>
        <v>310592.38388814434</v>
      </c>
      <c r="J142" s="73"/>
      <c r="K142" s="22">
        <f t="shared" si="24"/>
        <v>55707.616111855605</v>
      </c>
      <c r="L142" s="22">
        <f t="shared" si="25"/>
        <v>236517.6076988561</v>
      </c>
    </row>
    <row r="143" spans="1:12" ht="14.25" customHeight="1" x14ac:dyDescent="0.2">
      <c r="A143" s="15">
        <f t="shared" si="20"/>
        <v>124</v>
      </c>
      <c r="B143" s="16">
        <f t="shared" si="15"/>
        <v>48670</v>
      </c>
      <c r="C143" s="20">
        <f t="shared" si="21"/>
        <v>310592.38388814434</v>
      </c>
      <c r="D143" s="20">
        <f t="shared" si="16"/>
        <v>2375.8148277293635</v>
      </c>
      <c r="E143" s="59">
        <f t="shared" si="22"/>
        <v>0</v>
      </c>
      <c r="F143" s="20">
        <f t="shared" si="17"/>
        <v>2375.8148277293635</v>
      </c>
      <c r="G143" s="20">
        <f t="shared" si="18"/>
        <v>628.73266835855134</v>
      </c>
      <c r="H143" s="20">
        <f t="shared" si="23"/>
        <v>1747.0821593708122</v>
      </c>
      <c r="I143" s="20">
        <f t="shared" si="19"/>
        <v>309963.6512197858</v>
      </c>
      <c r="J143" s="73"/>
      <c r="K143" s="22">
        <f t="shared" si="24"/>
        <v>56336.348780214154</v>
      </c>
      <c r="L143" s="22">
        <f t="shared" si="25"/>
        <v>238264.68985822692</v>
      </c>
    </row>
    <row r="144" spans="1:12" ht="14.25" customHeight="1" x14ac:dyDescent="0.2">
      <c r="A144" s="15">
        <f t="shared" si="20"/>
        <v>125</v>
      </c>
      <c r="B144" s="16">
        <f t="shared" si="15"/>
        <v>48700</v>
      </c>
      <c r="C144" s="20">
        <f t="shared" si="21"/>
        <v>309963.6512197858</v>
      </c>
      <c r="D144" s="20">
        <f t="shared" si="16"/>
        <v>2375.8148277293635</v>
      </c>
      <c r="E144" s="59">
        <f t="shared" si="22"/>
        <v>0</v>
      </c>
      <c r="F144" s="20">
        <f t="shared" si="17"/>
        <v>2375.8148277293635</v>
      </c>
      <c r="G144" s="20">
        <f t="shared" si="18"/>
        <v>632.26928961806834</v>
      </c>
      <c r="H144" s="20">
        <f t="shared" si="23"/>
        <v>1743.5455381112952</v>
      </c>
      <c r="I144" s="20">
        <f t="shared" si="19"/>
        <v>309331.38193016773</v>
      </c>
      <c r="J144" s="73"/>
      <c r="K144" s="22">
        <f t="shared" si="24"/>
        <v>56968.61806983222</v>
      </c>
      <c r="L144" s="22">
        <f t="shared" si="25"/>
        <v>240008.23539633822</v>
      </c>
    </row>
    <row r="145" spans="1:12" ht="14.25" customHeight="1" x14ac:dyDescent="0.2">
      <c r="A145" s="15">
        <f t="shared" si="20"/>
        <v>126</v>
      </c>
      <c r="B145" s="16">
        <f t="shared" si="15"/>
        <v>48731</v>
      </c>
      <c r="C145" s="20">
        <f t="shared" si="21"/>
        <v>309331.38193016773</v>
      </c>
      <c r="D145" s="20">
        <f t="shared" si="16"/>
        <v>2375.8148277293635</v>
      </c>
      <c r="E145" s="59">
        <f t="shared" si="22"/>
        <v>0</v>
      </c>
      <c r="F145" s="20">
        <f t="shared" si="17"/>
        <v>2375.8148277293635</v>
      </c>
      <c r="G145" s="20">
        <f t="shared" si="18"/>
        <v>635.82580437217007</v>
      </c>
      <c r="H145" s="20">
        <f t="shared" si="23"/>
        <v>1739.9890233571934</v>
      </c>
      <c r="I145" s="20">
        <f t="shared" si="19"/>
        <v>308695.55612579559</v>
      </c>
      <c r="J145" s="73"/>
      <c r="K145" s="22">
        <f t="shared" si="24"/>
        <v>57604.443874204393</v>
      </c>
      <c r="L145" s="22">
        <f t="shared" si="25"/>
        <v>241748.22441969541</v>
      </c>
    </row>
    <row r="146" spans="1:12" ht="14.25" customHeight="1" x14ac:dyDescent="0.2">
      <c r="A146" s="15">
        <f t="shared" si="20"/>
        <v>127</v>
      </c>
      <c r="B146" s="16">
        <f t="shared" si="15"/>
        <v>48761</v>
      </c>
      <c r="C146" s="20">
        <f t="shared" si="21"/>
        <v>308695.55612579559</v>
      </c>
      <c r="D146" s="20">
        <f t="shared" si="16"/>
        <v>2375.8148277293635</v>
      </c>
      <c r="E146" s="59">
        <f t="shared" si="22"/>
        <v>0</v>
      </c>
      <c r="F146" s="20">
        <f t="shared" si="17"/>
        <v>2375.8148277293635</v>
      </c>
      <c r="G146" s="20">
        <f t="shared" si="18"/>
        <v>639.40232452176338</v>
      </c>
      <c r="H146" s="20">
        <f t="shared" si="23"/>
        <v>1736.4125032076001</v>
      </c>
      <c r="I146" s="20">
        <f t="shared" si="19"/>
        <v>308056.15380127385</v>
      </c>
      <c r="J146" s="73"/>
      <c r="K146" s="22">
        <f t="shared" si="24"/>
        <v>58243.846198726154</v>
      </c>
      <c r="L146" s="22">
        <f t="shared" si="25"/>
        <v>243484.63692290301</v>
      </c>
    </row>
    <row r="147" spans="1:12" ht="14.25" customHeight="1" x14ac:dyDescent="0.2">
      <c r="A147" s="15">
        <f t="shared" si="20"/>
        <v>128</v>
      </c>
      <c r="B147" s="16">
        <f t="shared" si="15"/>
        <v>48792</v>
      </c>
      <c r="C147" s="20">
        <f t="shared" si="21"/>
        <v>308056.15380127385</v>
      </c>
      <c r="D147" s="20">
        <f t="shared" si="16"/>
        <v>2375.8148277293635</v>
      </c>
      <c r="E147" s="59">
        <f t="shared" si="22"/>
        <v>0</v>
      </c>
      <c r="F147" s="20">
        <f t="shared" si="17"/>
        <v>2375.8148277293635</v>
      </c>
      <c r="G147" s="20">
        <f t="shared" si="18"/>
        <v>642.99896259719799</v>
      </c>
      <c r="H147" s="20">
        <f t="shared" si="23"/>
        <v>1732.8158651321655</v>
      </c>
      <c r="I147" s="20">
        <f t="shared" si="19"/>
        <v>307413.15483867662</v>
      </c>
      <c r="J147" s="73"/>
      <c r="K147" s="22">
        <f t="shared" si="24"/>
        <v>58886.845161323356</v>
      </c>
      <c r="L147" s="22">
        <f t="shared" si="25"/>
        <v>245217.45278803518</v>
      </c>
    </row>
    <row r="148" spans="1:12" ht="14.25" customHeight="1" x14ac:dyDescent="0.2">
      <c r="A148" s="15">
        <f t="shared" si="20"/>
        <v>129</v>
      </c>
      <c r="B148" s="16">
        <f t="shared" ref="B148:B211" si="26">IF(Pay_Num&lt;&gt;"",DATE(YEAR(Loan_Start),MONTH(Loan_Start)+(Pay_Num)*12/Num_Pmt_Per_Year,DAY(Loan_Start)),"")</f>
        <v>48823</v>
      </c>
      <c r="C148" s="20">
        <f t="shared" si="21"/>
        <v>307413.15483867662</v>
      </c>
      <c r="D148" s="20">
        <f t="shared" ref="D148:D211" si="27">IF($AG$14&lt;&gt;"",(IF(A148&lt;=$AG$15,(Loan_Amount*Interest_Rate/12),(Loan_Amount*((Interest_Rate/12+1)-1)/(1-((Interest_Rate/12+1)^(Loan_Years*-12+$AG$15)))))),(Loan_Amount*((Interest_Rate/12+1)-1)/(1-((Interest_Rate/12+1)^(Loan_Years*-12)))))</f>
        <v>2375.8148277293635</v>
      </c>
      <c r="E148" s="59">
        <f t="shared" si="22"/>
        <v>0</v>
      </c>
      <c r="F148" s="20">
        <f t="shared" ref="F148:F211" si="28">IF(AND(Pay_Num&lt;&gt;"",Sched_Pay+Extra_Pay&lt;Beg_Bal),Sched_Pay+Extra_Pay,IF(Pay_Num&lt;&gt;"",Beg_Bal,""))</f>
        <v>2375.8148277293635</v>
      </c>
      <c r="G148" s="20">
        <f t="shared" ref="G148:G211" si="29">IF(Pay_Num&lt;&gt;"",Total_Pay-Int,"")</f>
        <v>646.61583176180761</v>
      </c>
      <c r="H148" s="20">
        <f t="shared" si="23"/>
        <v>1729.1989959675559</v>
      </c>
      <c r="I148" s="20">
        <f t="shared" ref="I148:I211" si="30">IF(AND(Pay_Num&lt;&gt;"",Sched_Pay+Extra_Pay&lt;Beg_Bal),Beg_Bal-Princ,IF(Pay_Num&lt;&gt;"",0,""))</f>
        <v>306766.53900691483</v>
      </c>
      <c r="J148" s="73"/>
      <c r="K148" s="22">
        <f t="shared" si="24"/>
        <v>59533.460993085166</v>
      </c>
      <c r="L148" s="22">
        <f t="shared" si="25"/>
        <v>246946.65178400275</v>
      </c>
    </row>
    <row r="149" spans="1:12" ht="14.25" customHeight="1" x14ac:dyDescent="0.2">
      <c r="A149" s="15">
        <f t="shared" ref="A149:A212" si="31">IF(values_entered,A148+1,"")</f>
        <v>130</v>
      </c>
      <c r="B149" s="16">
        <f t="shared" si="26"/>
        <v>48853</v>
      </c>
      <c r="C149" s="20">
        <f t="shared" ref="C149:C212" si="32">IF(Pay_Num&lt;&gt;"",I148,"")</f>
        <v>306766.53900691483</v>
      </c>
      <c r="D149" s="20">
        <f t="shared" si="27"/>
        <v>2375.8148277293635</v>
      </c>
      <c r="E149" s="59">
        <f t="shared" ref="E149:E212" si="33">$D$13</f>
        <v>0</v>
      </c>
      <c r="F149" s="20">
        <f t="shared" si="28"/>
        <v>2375.8148277293635</v>
      </c>
      <c r="G149" s="20">
        <f t="shared" si="29"/>
        <v>650.25304581546743</v>
      </c>
      <c r="H149" s="20">
        <f t="shared" ref="H149:H212" si="34">IF(Pay_Num&lt;&gt;"",Beg_Bal*Interest_Rate/Num_Pmt_Per_Year,"")</f>
        <v>1725.5617819138961</v>
      </c>
      <c r="I149" s="20">
        <f t="shared" si="30"/>
        <v>306116.28596109938</v>
      </c>
      <c r="J149" s="73"/>
      <c r="K149" s="22">
        <f t="shared" ref="K149:K212" si="35">G149+K148</f>
        <v>60183.714038900631</v>
      </c>
      <c r="L149" s="22">
        <f t="shared" ref="L149:L212" si="36">L148+H149</f>
        <v>248672.21356591664</v>
      </c>
    </row>
    <row r="150" spans="1:12" ht="14.25" customHeight="1" x14ac:dyDescent="0.2">
      <c r="A150" s="15">
        <f t="shared" si="31"/>
        <v>131</v>
      </c>
      <c r="B150" s="16">
        <f t="shared" si="26"/>
        <v>48884</v>
      </c>
      <c r="C150" s="20">
        <f t="shared" si="32"/>
        <v>306116.28596109938</v>
      </c>
      <c r="D150" s="20">
        <f t="shared" si="27"/>
        <v>2375.8148277293635</v>
      </c>
      <c r="E150" s="59">
        <f t="shared" si="33"/>
        <v>0</v>
      </c>
      <c r="F150" s="20">
        <f t="shared" si="28"/>
        <v>2375.8148277293635</v>
      </c>
      <c r="G150" s="20">
        <f t="shared" si="29"/>
        <v>653.91071919817955</v>
      </c>
      <c r="H150" s="20">
        <f t="shared" si="34"/>
        <v>1721.904108531184</v>
      </c>
      <c r="I150" s="20">
        <f t="shared" si="30"/>
        <v>305462.3752419012</v>
      </c>
      <c r="J150" s="73"/>
      <c r="K150" s="22">
        <f t="shared" si="35"/>
        <v>60837.624758098813</v>
      </c>
      <c r="L150" s="22">
        <f t="shared" si="36"/>
        <v>250394.11767444783</v>
      </c>
    </row>
    <row r="151" spans="1:12" ht="14.25" customHeight="1" x14ac:dyDescent="0.2">
      <c r="A151" s="15">
        <f t="shared" si="31"/>
        <v>132</v>
      </c>
      <c r="B151" s="16">
        <f t="shared" si="26"/>
        <v>48914</v>
      </c>
      <c r="C151" s="20">
        <f t="shared" si="32"/>
        <v>305462.3752419012</v>
      </c>
      <c r="D151" s="20">
        <f t="shared" si="27"/>
        <v>2375.8148277293635</v>
      </c>
      <c r="E151" s="59">
        <f t="shared" si="33"/>
        <v>0</v>
      </c>
      <c r="F151" s="20">
        <f t="shared" si="28"/>
        <v>2375.8148277293635</v>
      </c>
      <c r="G151" s="20">
        <f t="shared" si="29"/>
        <v>657.58896699366915</v>
      </c>
      <c r="H151" s="20">
        <f t="shared" si="34"/>
        <v>1718.2258607356944</v>
      </c>
      <c r="I151" s="20">
        <f t="shared" si="30"/>
        <v>304804.78627490753</v>
      </c>
      <c r="J151" s="73"/>
      <c r="K151" s="22">
        <f t="shared" si="35"/>
        <v>61495.213725092479</v>
      </c>
      <c r="L151" s="22">
        <f t="shared" si="36"/>
        <v>252112.34353518352</v>
      </c>
    </row>
    <row r="152" spans="1:12" ht="14.25" customHeight="1" x14ac:dyDescent="0.2">
      <c r="A152" s="15">
        <f t="shared" si="31"/>
        <v>133</v>
      </c>
      <c r="B152" s="16">
        <f t="shared" si="26"/>
        <v>48945</v>
      </c>
      <c r="C152" s="20">
        <f t="shared" si="32"/>
        <v>304804.78627490753</v>
      </c>
      <c r="D152" s="20">
        <f t="shared" si="27"/>
        <v>2375.8148277293635</v>
      </c>
      <c r="E152" s="59">
        <f t="shared" si="33"/>
        <v>0</v>
      </c>
      <c r="F152" s="20">
        <f t="shared" si="28"/>
        <v>2375.8148277293635</v>
      </c>
      <c r="G152" s="20">
        <f t="shared" si="29"/>
        <v>661.28790493300835</v>
      </c>
      <c r="H152" s="20">
        <f t="shared" si="34"/>
        <v>1714.5269227963552</v>
      </c>
      <c r="I152" s="20">
        <f t="shared" si="30"/>
        <v>304143.49836997449</v>
      </c>
      <c r="J152" s="73"/>
      <c r="K152" s="22">
        <f t="shared" si="35"/>
        <v>62156.501630025487</v>
      </c>
      <c r="L152" s="22">
        <f t="shared" si="36"/>
        <v>253826.87045797988</v>
      </c>
    </row>
    <row r="153" spans="1:12" ht="14.25" customHeight="1" x14ac:dyDescent="0.2">
      <c r="A153" s="15">
        <f t="shared" si="31"/>
        <v>134</v>
      </c>
      <c r="B153" s="16">
        <f t="shared" si="26"/>
        <v>48976</v>
      </c>
      <c r="C153" s="20">
        <f t="shared" si="32"/>
        <v>304143.49836997449</v>
      </c>
      <c r="D153" s="20">
        <f t="shared" si="27"/>
        <v>2375.8148277293635</v>
      </c>
      <c r="E153" s="59">
        <f t="shared" si="33"/>
        <v>0</v>
      </c>
      <c r="F153" s="20">
        <f t="shared" si="28"/>
        <v>2375.8148277293635</v>
      </c>
      <c r="G153" s="20">
        <f t="shared" si="29"/>
        <v>665.00764939825672</v>
      </c>
      <c r="H153" s="20">
        <f t="shared" si="34"/>
        <v>1710.8071783311068</v>
      </c>
      <c r="I153" s="20">
        <f t="shared" si="30"/>
        <v>303478.49072057626</v>
      </c>
      <c r="J153" s="73"/>
      <c r="K153" s="22">
        <f t="shared" si="35"/>
        <v>62821.509279423743</v>
      </c>
      <c r="L153" s="22">
        <f t="shared" si="36"/>
        <v>255537.67763631098</v>
      </c>
    </row>
    <row r="154" spans="1:12" ht="14.25" customHeight="1" x14ac:dyDescent="0.2">
      <c r="A154" s="15">
        <f t="shared" si="31"/>
        <v>135</v>
      </c>
      <c r="B154" s="16">
        <f t="shared" si="26"/>
        <v>49004</v>
      </c>
      <c r="C154" s="20">
        <f t="shared" si="32"/>
        <v>303478.49072057626</v>
      </c>
      <c r="D154" s="20">
        <f t="shared" si="27"/>
        <v>2375.8148277293635</v>
      </c>
      <c r="E154" s="59">
        <f t="shared" si="33"/>
        <v>0</v>
      </c>
      <c r="F154" s="20">
        <f t="shared" si="28"/>
        <v>2375.8148277293635</v>
      </c>
      <c r="G154" s="20">
        <f t="shared" si="29"/>
        <v>668.74831742612196</v>
      </c>
      <c r="H154" s="20">
        <f t="shared" si="34"/>
        <v>1707.0665103032416</v>
      </c>
      <c r="I154" s="20">
        <f t="shared" si="30"/>
        <v>302809.74240315013</v>
      </c>
      <c r="J154" s="73"/>
      <c r="K154" s="22">
        <f t="shared" si="35"/>
        <v>63490.257596849864</v>
      </c>
      <c r="L154" s="22">
        <f t="shared" si="36"/>
        <v>257244.74414661422</v>
      </c>
    </row>
    <row r="155" spans="1:12" ht="14.25" customHeight="1" x14ac:dyDescent="0.2">
      <c r="A155" s="15">
        <f t="shared" si="31"/>
        <v>136</v>
      </c>
      <c r="B155" s="16">
        <f t="shared" si="26"/>
        <v>49035</v>
      </c>
      <c r="C155" s="20">
        <f t="shared" si="32"/>
        <v>302809.74240315013</v>
      </c>
      <c r="D155" s="20">
        <f t="shared" si="27"/>
        <v>2375.8148277293635</v>
      </c>
      <c r="E155" s="59">
        <f t="shared" si="33"/>
        <v>0</v>
      </c>
      <c r="F155" s="20">
        <f t="shared" si="28"/>
        <v>2375.8148277293635</v>
      </c>
      <c r="G155" s="20">
        <f t="shared" si="29"/>
        <v>672.51002671164383</v>
      </c>
      <c r="H155" s="20">
        <f t="shared" si="34"/>
        <v>1703.3048010177197</v>
      </c>
      <c r="I155" s="20">
        <f t="shared" si="30"/>
        <v>302137.23237643851</v>
      </c>
      <c r="J155" s="73"/>
      <c r="K155" s="22">
        <f t="shared" si="35"/>
        <v>64162.767623561507</v>
      </c>
      <c r="L155" s="22">
        <f t="shared" si="36"/>
        <v>258948.04894763193</v>
      </c>
    </row>
    <row r="156" spans="1:12" ht="14.25" customHeight="1" x14ac:dyDescent="0.2">
      <c r="A156" s="15">
        <f t="shared" si="31"/>
        <v>137</v>
      </c>
      <c r="B156" s="16">
        <f t="shared" si="26"/>
        <v>49065</v>
      </c>
      <c r="C156" s="20">
        <f t="shared" si="32"/>
        <v>302137.23237643851</v>
      </c>
      <c r="D156" s="20">
        <f t="shared" si="27"/>
        <v>2375.8148277293635</v>
      </c>
      <c r="E156" s="59">
        <f t="shared" si="33"/>
        <v>0</v>
      </c>
      <c r="F156" s="20">
        <f t="shared" si="28"/>
        <v>2375.8148277293635</v>
      </c>
      <c r="G156" s="20">
        <f t="shared" si="29"/>
        <v>676.29289561189694</v>
      </c>
      <c r="H156" s="20">
        <f t="shared" si="34"/>
        <v>1699.5219321174666</v>
      </c>
      <c r="I156" s="20">
        <f t="shared" si="30"/>
        <v>301460.93948082661</v>
      </c>
      <c r="J156" s="73"/>
      <c r="K156" s="22">
        <f t="shared" si="35"/>
        <v>64839.060519173407</v>
      </c>
      <c r="L156" s="22">
        <f t="shared" si="36"/>
        <v>260647.5708797494</v>
      </c>
    </row>
    <row r="157" spans="1:12" ht="14.25" customHeight="1" x14ac:dyDescent="0.2">
      <c r="A157" s="15">
        <f t="shared" si="31"/>
        <v>138</v>
      </c>
      <c r="B157" s="16">
        <f t="shared" si="26"/>
        <v>49096</v>
      </c>
      <c r="C157" s="20">
        <f t="shared" si="32"/>
        <v>301460.93948082661</v>
      </c>
      <c r="D157" s="20">
        <f t="shared" si="27"/>
        <v>2375.8148277293635</v>
      </c>
      <c r="E157" s="59">
        <f t="shared" si="33"/>
        <v>0</v>
      </c>
      <c r="F157" s="20">
        <f t="shared" si="28"/>
        <v>2375.8148277293635</v>
      </c>
      <c r="G157" s="20">
        <f t="shared" si="29"/>
        <v>680.09704314971373</v>
      </c>
      <c r="H157" s="20">
        <f t="shared" si="34"/>
        <v>1695.7177845796498</v>
      </c>
      <c r="I157" s="20">
        <f t="shared" si="30"/>
        <v>300780.84243767691</v>
      </c>
      <c r="J157" s="73"/>
      <c r="K157" s="22">
        <f t="shared" si="35"/>
        <v>65519.157562323118</v>
      </c>
      <c r="L157" s="22">
        <f t="shared" si="36"/>
        <v>262343.28866432904</v>
      </c>
    </row>
    <row r="158" spans="1:12" ht="14.25" customHeight="1" x14ac:dyDescent="0.2">
      <c r="A158" s="15">
        <f t="shared" si="31"/>
        <v>139</v>
      </c>
      <c r="B158" s="16">
        <f t="shared" si="26"/>
        <v>49126</v>
      </c>
      <c r="C158" s="20">
        <f t="shared" si="32"/>
        <v>300780.84243767691</v>
      </c>
      <c r="D158" s="20">
        <f t="shared" si="27"/>
        <v>2375.8148277293635</v>
      </c>
      <c r="E158" s="59">
        <f t="shared" si="33"/>
        <v>0</v>
      </c>
      <c r="F158" s="20">
        <f t="shared" si="28"/>
        <v>2375.8148277293635</v>
      </c>
      <c r="G158" s="20">
        <f t="shared" si="29"/>
        <v>683.92258901743071</v>
      </c>
      <c r="H158" s="20">
        <f t="shared" si="34"/>
        <v>1691.8922387119328</v>
      </c>
      <c r="I158" s="20">
        <f t="shared" si="30"/>
        <v>300096.91984865948</v>
      </c>
      <c r="J158" s="73"/>
      <c r="K158" s="22">
        <f t="shared" si="35"/>
        <v>66203.080151340546</v>
      </c>
      <c r="L158" s="22">
        <f t="shared" si="36"/>
        <v>264035.18090304098</v>
      </c>
    </row>
    <row r="159" spans="1:12" ht="14.25" customHeight="1" x14ac:dyDescent="0.2">
      <c r="A159" s="15">
        <f t="shared" si="31"/>
        <v>140</v>
      </c>
      <c r="B159" s="16">
        <f t="shared" si="26"/>
        <v>49157</v>
      </c>
      <c r="C159" s="20">
        <f t="shared" si="32"/>
        <v>300096.91984865948</v>
      </c>
      <c r="D159" s="20">
        <f t="shared" si="27"/>
        <v>2375.8148277293635</v>
      </c>
      <c r="E159" s="59">
        <f t="shared" si="33"/>
        <v>0</v>
      </c>
      <c r="F159" s="20">
        <f t="shared" si="28"/>
        <v>2375.8148277293635</v>
      </c>
      <c r="G159" s="20">
        <f t="shared" si="29"/>
        <v>687.76965358065377</v>
      </c>
      <c r="H159" s="20">
        <f t="shared" si="34"/>
        <v>1688.0451741487097</v>
      </c>
      <c r="I159" s="20">
        <f t="shared" si="30"/>
        <v>299409.15019507881</v>
      </c>
      <c r="J159" s="73"/>
      <c r="K159" s="22">
        <f t="shared" si="35"/>
        <v>66890.849804921207</v>
      </c>
      <c r="L159" s="22">
        <f t="shared" si="36"/>
        <v>265723.22607718967</v>
      </c>
    </row>
    <row r="160" spans="1:12" ht="14.25" customHeight="1" x14ac:dyDescent="0.2">
      <c r="A160" s="15">
        <f t="shared" si="31"/>
        <v>141</v>
      </c>
      <c r="B160" s="16">
        <f t="shared" si="26"/>
        <v>49188</v>
      </c>
      <c r="C160" s="20">
        <f t="shared" si="32"/>
        <v>299409.15019507881</v>
      </c>
      <c r="D160" s="20">
        <f t="shared" si="27"/>
        <v>2375.8148277293635</v>
      </c>
      <c r="E160" s="59">
        <f t="shared" si="33"/>
        <v>0</v>
      </c>
      <c r="F160" s="20">
        <f t="shared" si="28"/>
        <v>2375.8148277293635</v>
      </c>
      <c r="G160" s="20">
        <f t="shared" si="29"/>
        <v>691.63835788204528</v>
      </c>
      <c r="H160" s="20">
        <f t="shared" si="34"/>
        <v>1684.1764698473182</v>
      </c>
      <c r="I160" s="20">
        <f t="shared" si="30"/>
        <v>298717.51183719677</v>
      </c>
      <c r="J160" s="73"/>
      <c r="K160" s="22">
        <f t="shared" si="35"/>
        <v>67582.488162803245</v>
      </c>
      <c r="L160" s="22">
        <f t="shared" si="36"/>
        <v>267407.402547037</v>
      </c>
    </row>
    <row r="161" spans="1:12" ht="14.25" customHeight="1" x14ac:dyDescent="0.2">
      <c r="A161" s="15">
        <f t="shared" si="31"/>
        <v>142</v>
      </c>
      <c r="B161" s="16">
        <f t="shared" si="26"/>
        <v>49218</v>
      </c>
      <c r="C161" s="20">
        <f t="shared" si="32"/>
        <v>298717.51183719677</v>
      </c>
      <c r="D161" s="20">
        <f t="shared" si="27"/>
        <v>2375.8148277293635</v>
      </c>
      <c r="E161" s="59">
        <f t="shared" si="33"/>
        <v>0</v>
      </c>
      <c r="F161" s="20">
        <f t="shared" si="28"/>
        <v>2375.8148277293635</v>
      </c>
      <c r="G161" s="20">
        <f t="shared" si="29"/>
        <v>695.52882364513175</v>
      </c>
      <c r="H161" s="20">
        <f t="shared" si="34"/>
        <v>1680.2860040842318</v>
      </c>
      <c r="I161" s="20">
        <f t="shared" si="30"/>
        <v>298021.98301355162</v>
      </c>
      <c r="J161" s="73"/>
      <c r="K161" s="22">
        <f t="shared" si="35"/>
        <v>68278.016986448376</v>
      </c>
      <c r="L161" s="22">
        <f t="shared" si="36"/>
        <v>269087.68855112122</v>
      </c>
    </row>
    <row r="162" spans="1:12" ht="14.25" customHeight="1" x14ac:dyDescent="0.2">
      <c r="A162" s="15">
        <f t="shared" si="31"/>
        <v>143</v>
      </c>
      <c r="B162" s="16">
        <f t="shared" si="26"/>
        <v>49249</v>
      </c>
      <c r="C162" s="20">
        <f t="shared" si="32"/>
        <v>298021.98301355162</v>
      </c>
      <c r="D162" s="20">
        <f t="shared" si="27"/>
        <v>2375.8148277293635</v>
      </c>
      <c r="E162" s="59">
        <f t="shared" si="33"/>
        <v>0</v>
      </c>
      <c r="F162" s="20">
        <f t="shared" si="28"/>
        <v>2375.8148277293635</v>
      </c>
      <c r="G162" s="20">
        <f t="shared" si="29"/>
        <v>699.44117327813569</v>
      </c>
      <c r="H162" s="20">
        <f t="shared" si="34"/>
        <v>1676.3736544512278</v>
      </c>
      <c r="I162" s="20">
        <f t="shared" si="30"/>
        <v>297322.54184027348</v>
      </c>
      <c r="J162" s="73"/>
      <c r="K162" s="22">
        <f t="shared" si="35"/>
        <v>68977.458159726506</v>
      </c>
      <c r="L162" s="22">
        <f t="shared" si="36"/>
        <v>270764.06220557244</v>
      </c>
    </row>
    <row r="163" spans="1:12" ht="14.25" customHeight="1" x14ac:dyDescent="0.2">
      <c r="A163" s="15">
        <f t="shared" si="31"/>
        <v>144</v>
      </c>
      <c r="B163" s="16">
        <f t="shared" si="26"/>
        <v>49279</v>
      </c>
      <c r="C163" s="20">
        <f t="shared" si="32"/>
        <v>297322.54184027348</v>
      </c>
      <c r="D163" s="20">
        <f t="shared" si="27"/>
        <v>2375.8148277293635</v>
      </c>
      <c r="E163" s="59">
        <f t="shared" si="33"/>
        <v>0</v>
      </c>
      <c r="F163" s="20">
        <f t="shared" si="28"/>
        <v>2375.8148277293635</v>
      </c>
      <c r="G163" s="20">
        <f t="shared" si="29"/>
        <v>703.37552987782487</v>
      </c>
      <c r="H163" s="20">
        <f t="shared" si="34"/>
        <v>1672.4392978515386</v>
      </c>
      <c r="I163" s="20">
        <f t="shared" si="30"/>
        <v>296619.16631039564</v>
      </c>
      <c r="J163" s="73"/>
      <c r="K163" s="22">
        <f t="shared" si="35"/>
        <v>69680.833689604333</v>
      </c>
      <c r="L163" s="22">
        <f t="shared" si="36"/>
        <v>272436.50150342396</v>
      </c>
    </row>
    <row r="164" spans="1:12" ht="14.25" customHeight="1" x14ac:dyDescent="0.2">
      <c r="A164" s="15">
        <f t="shared" si="31"/>
        <v>145</v>
      </c>
      <c r="B164" s="16">
        <f t="shared" si="26"/>
        <v>49310</v>
      </c>
      <c r="C164" s="20">
        <f t="shared" si="32"/>
        <v>296619.16631039564</v>
      </c>
      <c r="D164" s="20">
        <f t="shared" si="27"/>
        <v>2375.8148277293635</v>
      </c>
      <c r="E164" s="59">
        <f t="shared" si="33"/>
        <v>0</v>
      </c>
      <c r="F164" s="20">
        <f t="shared" si="28"/>
        <v>2375.8148277293635</v>
      </c>
      <c r="G164" s="20">
        <f t="shared" si="29"/>
        <v>707.33201723338811</v>
      </c>
      <c r="H164" s="20">
        <f t="shared" si="34"/>
        <v>1668.4828104959754</v>
      </c>
      <c r="I164" s="20">
        <f t="shared" si="30"/>
        <v>295911.83429316228</v>
      </c>
      <c r="J164" s="73"/>
      <c r="K164" s="22">
        <f t="shared" si="35"/>
        <v>70388.165706837724</v>
      </c>
      <c r="L164" s="22">
        <f t="shared" si="36"/>
        <v>274104.98431391997</v>
      </c>
    </row>
    <row r="165" spans="1:12" ht="14.25" customHeight="1" x14ac:dyDescent="0.2">
      <c r="A165" s="15">
        <f t="shared" si="31"/>
        <v>146</v>
      </c>
      <c r="B165" s="16">
        <f t="shared" si="26"/>
        <v>49341</v>
      </c>
      <c r="C165" s="20">
        <f t="shared" si="32"/>
        <v>295911.83429316228</v>
      </c>
      <c r="D165" s="20">
        <f t="shared" si="27"/>
        <v>2375.8148277293635</v>
      </c>
      <c r="E165" s="59">
        <f t="shared" si="33"/>
        <v>0</v>
      </c>
      <c r="F165" s="20">
        <f t="shared" si="28"/>
        <v>2375.8148277293635</v>
      </c>
      <c r="G165" s="20">
        <f t="shared" si="29"/>
        <v>711.31075983032565</v>
      </c>
      <c r="H165" s="20">
        <f t="shared" si="34"/>
        <v>1664.5040678990379</v>
      </c>
      <c r="I165" s="20">
        <f t="shared" si="30"/>
        <v>295200.52353333193</v>
      </c>
      <c r="J165" s="73"/>
      <c r="K165" s="22">
        <f t="shared" si="35"/>
        <v>71099.476466668057</v>
      </c>
      <c r="L165" s="22">
        <f t="shared" si="36"/>
        <v>275769.48838181898</v>
      </c>
    </row>
    <row r="166" spans="1:12" ht="14.25" customHeight="1" x14ac:dyDescent="0.2">
      <c r="A166" s="15">
        <f t="shared" si="31"/>
        <v>147</v>
      </c>
      <c r="B166" s="16">
        <f t="shared" si="26"/>
        <v>49369</v>
      </c>
      <c r="C166" s="20">
        <f t="shared" si="32"/>
        <v>295200.52353333193</v>
      </c>
      <c r="D166" s="20">
        <f t="shared" si="27"/>
        <v>2375.8148277293635</v>
      </c>
      <c r="E166" s="59">
        <f t="shared" si="33"/>
        <v>0</v>
      </c>
      <c r="F166" s="20">
        <f t="shared" si="28"/>
        <v>2375.8148277293635</v>
      </c>
      <c r="G166" s="20">
        <f t="shared" si="29"/>
        <v>715.31188285437133</v>
      </c>
      <c r="H166" s="20">
        <f t="shared" si="34"/>
        <v>1660.5029448749922</v>
      </c>
      <c r="I166" s="20">
        <f t="shared" si="30"/>
        <v>294485.21165047755</v>
      </c>
      <c r="J166" s="73"/>
      <c r="K166" s="22">
        <f t="shared" si="35"/>
        <v>71814.788349522423</v>
      </c>
      <c r="L166" s="22">
        <f t="shared" si="36"/>
        <v>277429.99132669397</v>
      </c>
    </row>
    <row r="167" spans="1:12" ht="14.25" customHeight="1" x14ac:dyDescent="0.2">
      <c r="A167" s="15">
        <f t="shared" si="31"/>
        <v>148</v>
      </c>
      <c r="B167" s="16">
        <f t="shared" si="26"/>
        <v>49400</v>
      </c>
      <c r="C167" s="20">
        <f t="shared" si="32"/>
        <v>294485.21165047755</v>
      </c>
      <c r="D167" s="20">
        <f t="shared" si="27"/>
        <v>2375.8148277293635</v>
      </c>
      <c r="E167" s="59">
        <f t="shared" si="33"/>
        <v>0</v>
      </c>
      <c r="F167" s="20">
        <f t="shared" si="28"/>
        <v>2375.8148277293635</v>
      </c>
      <c r="G167" s="20">
        <f t="shared" si="29"/>
        <v>719.3355121954271</v>
      </c>
      <c r="H167" s="20">
        <f t="shared" si="34"/>
        <v>1656.4793155339364</v>
      </c>
      <c r="I167" s="20">
        <f t="shared" si="30"/>
        <v>293765.87613828212</v>
      </c>
      <c r="J167" s="73"/>
      <c r="K167" s="22">
        <f t="shared" si="35"/>
        <v>72534.123861717846</v>
      </c>
      <c r="L167" s="22">
        <f t="shared" si="36"/>
        <v>279086.47064222791</v>
      </c>
    </row>
    <row r="168" spans="1:12" ht="14.25" customHeight="1" x14ac:dyDescent="0.2">
      <c r="A168" s="15">
        <f t="shared" si="31"/>
        <v>149</v>
      </c>
      <c r="B168" s="16">
        <f t="shared" si="26"/>
        <v>49430</v>
      </c>
      <c r="C168" s="20">
        <f t="shared" si="32"/>
        <v>293765.87613828212</v>
      </c>
      <c r="D168" s="20">
        <f t="shared" si="27"/>
        <v>2375.8148277293635</v>
      </c>
      <c r="E168" s="59">
        <f t="shared" si="33"/>
        <v>0</v>
      </c>
      <c r="F168" s="20">
        <f t="shared" si="28"/>
        <v>2375.8148277293635</v>
      </c>
      <c r="G168" s="20">
        <f t="shared" si="29"/>
        <v>723.38177445152655</v>
      </c>
      <c r="H168" s="20">
        <f t="shared" si="34"/>
        <v>1652.433053277837</v>
      </c>
      <c r="I168" s="20">
        <f t="shared" si="30"/>
        <v>293042.4943638306</v>
      </c>
      <c r="J168" s="73"/>
      <c r="K168" s="22">
        <f t="shared" si="35"/>
        <v>73257.505636169371</v>
      </c>
      <c r="L168" s="22">
        <f t="shared" si="36"/>
        <v>280738.90369550575</v>
      </c>
    </row>
    <row r="169" spans="1:12" ht="14.25" customHeight="1" x14ac:dyDescent="0.2">
      <c r="A169" s="15">
        <f t="shared" si="31"/>
        <v>150</v>
      </c>
      <c r="B169" s="16">
        <f t="shared" si="26"/>
        <v>49461</v>
      </c>
      <c r="C169" s="20">
        <f t="shared" si="32"/>
        <v>293042.4943638306</v>
      </c>
      <c r="D169" s="20">
        <f t="shared" si="27"/>
        <v>2375.8148277293635</v>
      </c>
      <c r="E169" s="59">
        <f t="shared" si="33"/>
        <v>0</v>
      </c>
      <c r="F169" s="20">
        <f t="shared" si="28"/>
        <v>2375.8148277293635</v>
      </c>
      <c r="G169" s="20">
        <f t="shared" si="29"/>
        <v>727.45079693281627</v>
      </c>
      <c r="H169" s="20">
        <f t="shared" si="34"/>
        <v>1648.3640307965472</v>
      </c>
      <c r="I169" s="20">
        <f t="shared" si="30"/>
        <v>292315.0435668978</v>
      </c>
      <c r="J169" s="73"/>
      <c r="K169" s="22">
        <f t="shared" si="35"/>
        <v>73984.956433102183</v>
      </c>
      <c r="L169" s="22">
        <f t="shared" si="36"/>
        <v>282387.26772630232</v>
      </c>
    </row>
    <row r="170" spans="1:12" ht="14.25" customHeight="1" x14ac:dyDescent="0.2">
      <c r="A170" s="15">
        <f t="shared" si="31"/>
        <v>151</v>
      </c>
      <c r="B170" s="16">
        <f t="shared" si="26"/>
        <v>49491</v>
      </c>
      <c r="C170" s="20">
        <f t="shared" si="32"/>
        <v>292315.0435668978</v>
      </c>
      <c r="D170" s="20">
        <f t="shared" si="27"/>
        <v>2375.8148277293635</v>
      </c>
      <c r="E170" s="59">
        <f t="shared" si="33"/>
        <v>0</v>
      </c>
      <c r="F170" s="20">
        <f t="shared" si="28"/>
        <v>2375.8148277293635</v>
      </c>
      <c r="G170" s="20">
        <f t="shared" si="29"/>
        <v>731.54270766556306</v>
      </c>
      <c r="H170" s="20">
        <f t="shared" si="34"/>
        <v>1644.2721200638005</v>
      </c>
      <c r="I170" s="20">
        <f t="shared" si="30"/>
        <v>291583.50085923221</v>
      </c>
      <c r="J170" s="73"/>
      <c r="K170" s="22">
        <f t="shared" si="35"/>
        <v>74716.499140767744</v>
      </c>
      <c r="L170" s="22">
        <f t="shared" si="36"/>
        <v>284031.5398463661</v>
      </c>
    </row>
    <row r="171" spans="1:12" ht="14.25" customHeight="1" x14ac:dyDescent="0.2">
      <c r="A171" s="15">
        <f t="shared" si="31"/>
        <v>152</v>
      </c>
      <c r="B171" s="16">
        <f t="shared" si="26"/>
        <v>49522</v>
      </c>
      <c r="C171" s="20">
        <f t="shared" si="32"/>
        <v>291583.50085923221</v>
      </c>
      <c r="D171" s="20">
        <f t="shared" si="27"/>
        <v>2375.8148277293635</v>
      </c>
      <c r="E171" s="59">
        <f t="shared" si="33"/>
        <v>0</v>
      </c>
      <c r="F171" s="20">
        <f t="shared" si="28"/>
        <v>2375.8148277293635</v>
      </c>
      <c r="G171" s="20">
        <f t="shared" si="29"/>
        <v>735.65763539618229</v>
      </c>
      <c r="H171" s="20">
        <f t="shared" si="34"/>
        <v>1640.1571923331812</v>
      </c>
      <c r="I171" s="20">
        <f t="shared" si="30"/>
        <v>290847.84322383604</v>
      </c>
      <c r="J171" s="73"/>
      <c r="K171" s="22">
        <f t="shared" si="35"/>
        <v>75452.156776163931</v>
      </c>
      <c r="L171" s="22">
        <f t="shared" si="36"/>
        <v>285671.69703869929</v>
      </c>
    </row>
    <row r="172" spans="1:12" ht="14.25" customHeight="1" x14ac:dyDescent="0.2">
      <c r="A172" s="15">
        <f t="shared" si="31"/>
        <v>153</v>
      </c>
      <c r="B172" s="16">
        <f t="shared" si="26"/>
        <v>49553</v>
      </c>
      <c r="C172" s="20">
        <f t="shared" si="32"/>
        <v>290847.84322383604</v>
      </c>
      <c r="D172" s="20">
        <f t="shared" si="27"/>
        <v>2375.8148277293635</v>
      </c>
      <c r="E172" s="59">
        <f t="shared" si="33"/>
        <v>0</v>
      </c>
      <c r="F172" s="20">
        <f t="shared" si="28"/>
        <v>2375.8148277293635</v>
      </c>
      <c r="G172" s="20">
        <f t="shared" si="29"/>
        <v>739.79570959528564</v>
      </c>
      <c r="H172" s="20">
        <f t="shared" si="34"/>
        <v>1636.0191181340779</v>
      </c>
      <c r="I172" s="20">
        <f t="shared" si="30"/>
        <v>290108.04751424078</v>
      </c>
      <c r="J172" s="73"/>
      <c r="K172" s="22">
        <f t="shared" si="35"/>
        <v>76191.952485759219</v>
      </c>
      <c r="L172" s="22">
        <f t="shared" si="36"/>
        <v>287307.71615683334</v>
      </c>
    </row>
    <row r="173" spans="1:12" ht="14.25" customHeight="1" x14ac:dyDescent="0.2">
      <c r="A173" s="15">
        <f t="shared" si="31"/>
        <v>154</v>
      </c>
      <c r="B173" s="16">
        <f t="shared" si="26"/>
        <v>49583</v>
      </c>
      <c r="C173" s="20">
        <f t="shared" si="32"/>
        <v>290108.04751424078</v>
      </c>
      <c r="D173" s="20">
        <f t="shared" si="27"/>
        <v>2375.8148277293635</v>
      </c>
      <c r="E173" s="59">
        <f t="shared" si="33"/>
        <v>0</v>
      </c>
      <c r="F173" s="20">
        <f t="shared" si="28"/>
        <v>2375.8148277293635</v>
      </c>
      <c r="G173" s="20">
        <f t="shared" si="29"/>
        <v>743.95706046175906</v>
      </c>
      <c r="H173" s="20">
        <f t="shared" si="34"/>
        <v>1631.8577672676045</v>
      </c>
      <c r="I173" s="20">
        <f t="shared" si="30"/>
        <v>289364.09045377903</v>
      </c>
      <c r="J173" s="73"/>
      <c r="K173" s="22">
        <f t="shared" si="35"/>
        <v>76935.909546220981</v>
      </c>
      <c r="L173" s="22">
        <f t="shared" si="36"/>
        <v>288939.57392410096</v>
      </c>
    </row>
    <row r="174" spans="1:12" ht="14.25" customHeight="1" x14ac:dyDescent="0.2">
      <c r="A174" s="15">
        <f t="shared" si="31"/>
        <v>155</v>
      </c>
      <c r="B174" s="16">
        <f t="shared" si="26"/>
        <v>49614</v>
      </c>
      <c r="C174" s="20">
        <f t="shared" si="32"/>
        <v>289364.09045377903</v>
      </c>
      <c r="D174" s="20">
        <f t="shared" si="27"/>
        <v>2375.8148277293635</v>
      </c>
      <c r="E174" s="59">
        <f t="shared" si="33"/>
        <v>0</v>
      </c>
      <c r="F174" s="20">
        <f t="shared" si="28"/>
        <v>2375.8148277293635</v>
      </c>
      <c r="G174" s="20">
        <f t="shared" si="29"/>
        <v>748.14181892685633</v>
      </c>
      <c r="H174" s="20">
        <f t="shared" si="34"/>
        <v>1627.6730088025072</v>
      </c>
      <c r="I174" s="20">
        <f t="shared" si="30"/>
        <v>288615.94863485219</v>
      </c>
      <c r="J174" s="73"/>
      <c r="K174" s="22">
        <f t="shared" si="35"/>
        <v>77684.05136514784</v>
      </c>
      <c r="L174" s="22">
        <f t="shared" si="36"/>
        <v>290567.24693290348</v>
      </c>
    </row>
    <row r="175" spans="1:12" ht="14.25" customHeight="1" x14ac:dyDescent="0.2">
      <c r="A175" s="15">
        <f t="shared" si="31"/>
        <v>156</v>
      </c>
      <c r="B175" s="16">
        <f t="shared" si="26"/>
        <v>49644</v>
      </c>
      <c r="C175" s="20">
        <f t="shared" si="32"/>
        <v>288615.94863485219</v>
      </c>
      <c r="D175" s="20">
        <f t="shared" si="27"/>
        <v>2375.8148277293635</v>
      </c>
      <c r="E175" s="59">
        <f t="shared" si="33"/>
        <v>0</v>
      </c>
      <c r="F175" s="20">
        <f t="shared" si="28"/>
        <v>2375.8148277293635</v>
      </c>
      <c r="G175" s="20">
        <f t="shared" si="29"/>
        <v>752.35011665831985</v>
      </c>
      <c r="H175" s="20">
        <f t="shared" si="34"/>
        <v>1623.4647110710437</v>
      </c>
      <c r="I175" s="20">
        <f t="shared" si="30"/>
        <v>287863.59851819387</v>
      </c>
      <c r="J175" s="73"/>
      <c r="K175" s="22">
        <f t="shared" si="35"/>
        <v>78436.401481806155</v>
      </c>
      <c r="L175" s="22">
        <f t="shared" si="36"/>
        <v>292190.71164397453</v>
      </c>
    </row>
    <row r="176" spans="1:12" ht="14.25" customHeight="1" x14ac:dyDescent="0.2">
      <c r="A176" s="15">
        <f t="shared" si="31"/>
        <v>157</v>
      </c>
      <c r="B176" s="16">
        <f t="shared" si="26"/>
        <v>49675</v>
      </c>
      <c r="C176" s="20">
        <f t="shared" si="32"/>
        <v>287863.59851819387</v>
      </c>
      <c r="D176" s="20">
        <f t="shared" si="27"/>
        <v>2375.8148277293635</v>
      </c>
      <c r="E176" s="59">
        <f t="shared" si="33"/>
        <v>0</v>
      </c>
      <c r="F176" s="20">
        <f t="shared" si="28"/>
        <v>2375.8148277293635</v>
      </c>
      <c r="G176" s="20">
        <f t="shared" si="29"/>
        <v>756.58208606452285</v>
      </c>
      <c r="H176" s="20">
        <f t="shared" si="34"/>
        <v>1619.2327416648407</v>
      </c>
      <c r="I176" s="20">
        <f t="shared" si="30"/>
        <v>287107.01643212937</v>
      </c>
      <c r="J176" s="73"/>
      <c r="K176" s="22">
        <f t="shared" si="35"/>
        <v>79192.983567870673</v>
      </c>
      <c r="L176" s="22">
        <f t="shared" si="36"/>
        <v>293809.94438563939</v>
      </c>
    </row>
    <row r="177" spans="1:12" ht="14.25" customHeight="1" x14ac:dyDescent="0.2">
      <c r="A177" s="15">
        <f t="shared" si="31"/>
        <v>158</v>
      </c>
      <c r="B177" s="16">
        <f t="shared" si="26"/>
        <v>49706</v>
      </c>
      <c r="C177" s="20">
        <f t="shared" si="32"/>
        <v>287107.01643212937</v>
      </c>
      <c r="D177" s="20">
        <f t="shared" si="27"/>
        <v>2375.8148277293635</v>
      </c>
      <c r="E177" s="59">
        <f t="shared" si="33"/>
        <v>0</v>
      </c>
      <c r="F177" s="20">
        <f t="shared" si="28"/>
        <v>2375.8148277293635</v>
      </c>
      <c r="G177" s="20">
        <f t="shared" si="29"/>
        <v>760.83786029863563</v>
      </c>
      <c r="H177" s="20">
        <f t="shared" si="34"/>
        <v>1614.9769674307279</v>
      </c>
      <c r="I177" s="20">
        <f t="shared" si="30"/>
        <v>286346.17857183074</v>
      </c>
      <c r="J177" s="73"/>
      <c r="K177" s="22">
        <f t="shared" si="35"/>
        <v>79953.821428169307</v>
      </c>
      <c r="L177" s="22">
        <f t="shared" si="36"/>
        <v>295424.92135307012</v>
      </c>
    </row>
    <row r="178" spans="1:12" ht="14.25" customHeight="1" x14ac:dyDescent="0.2">
      <c r="A178" s="15">
        <f t="shared" si="31"/>
        <v>159</v>
      </c>
      <c r="B178" s="16">
        <f t="shared" si="26"/>
        <v>49735</v>
      </c>
      <c r="C178" s="20">
        <f t="shared" si="32"/>
        <v>286346.17857183074</v>
      </c>
      <c r="D178" s="20">
        <f t="shared" si="27"/>
        <v>2375.8148277293635</v>
      </c>
      <c r="E178" s="59">
        <f t="shared" si="33"/>
        <v>0</v>
      </c>
      <c r="F178" s="20">
        <f t="shared" si="28"/>
        <v>2375.8148277293635</v>
      </c>
      <c r="G178" s="20">
        <f t="shared" si="29"/>
        <v>765.11757326281554</v>
      </c>
      <c r="H178" s="20">
        <f t="shared" si="34"/>
        <v>1610.697254466548</v>
      </c>
      <c r="I178" s="20">
        <f t="shared" si="30"/>
        <v>285581.0609985679</v>
      </c>
      <c r="J178" s="73"/>
      <c r="K178" s="22">
        <f t="shared" si="35"/>
        <v>80718.939001432125</v>
      </c>
      <c r="L178" s="22">
        <f t="shared" si="36"/>
        <v>297035.61860753666</v>
      </c>
    </row>
    <row r="179" spans="1:12" ht="14.25" customHeight="1" x14ac:dyDescent="0.2">
      <c r="A179" s="15">
        <f t="shared" si="31"/>
        <v>160</v>
      </c>
      <c r="B179" s="16">
        <f t="shared" si="26"/>
        <v>49766</v>
      </c>
      <c r="C179" s="20">
        <f t="shared" si="32"/>
        <v>285581.0609985679</v>
      </c>
      <c r="D179" s="20">
        <f t="shared" si="27"/>
        <v>2375.8148277293635</v>
      </c>
      <c r="E179" s="59">
        <f t="shared" si="33"/>
        <v>0</v>
      </c>
      <c r="F179" s="20">
        <f t="shared" si="28"/>
        <v>2375.8148277293635</v>
      </c>
      <c r="G179" s="20">
        <f t="shared" si="29"/>
        <v>769.42135961241888</v>
      </c>
      <c r="H179" s="20">
        <f t="shared" si="34"/>
        <v>1606.3934681169446</v>
      </c>
      <c r="I179" s="20">
        <f t="shared" si="30"/>
        <v>284811.63963895547</v>
      </c>
      <c r="J179" s="73"/>
      <c r="K179" s="22">
        <f t="shared" si="35"/>
        <v>81488.360361044543</v>
      </c>
      <c r="L179" s="22">
        <f t="shared" si="36"/>
        <v>298642.01207565359</v>
      </c>
    </row>
    <row r="180" spans="1:12" ht="14.25" customHeight="1" x14ac:dyDescent="0.2">
      <c r="A180" s="15">
        <f t="shared" si="31"/>
        <v>161</v>
      </c>
      <c r="B180" s="16">
        <f t="shared" si="26"/>
        <v>49796</v>
      </c>
      <c r="C180" s="20">
        <f t="shared" si="32"/>
        <v>284811.63963895547</v>
      </c>
      <c r="D180" s="20">
        <f t="shared" si="27"/>
        <v>2375.8148277293635</v>
      </c>
      <c r="E180" s="59">
        <f t="shared" si="33"/>
        <v>0</v>
      </c>
      <c r="F180" s="20">
        <f t="shared" si="28"/>
        <v>2375.8148277293635</v>
      </c>
      <c r="G180" s="20">
        <f t="shared" si="29"/>
        <v>773.7493547602387</v>
      </c>
      <c r="H180" s="20">
        <f t="shared" si="34"/>
        <v>1602.0654729691248</v>
      </c>
      <c r="I180" s="20">
        <f t="shared" si="30"/>
        <v>284037.89028419525</v>
      </c>
      <c r="J180" s="73"/>
      <c r="K180" s="22">
        <f t="shared" si="35"/>
        <v>82262.109715804778</v>
      </c>
      <c r="L180" s="22">
        <f t="shared" si="36"/>
        <v>300244.07754862274</v>
      </c>
    </row>
    <row r="181" spans="1:12" ht="14.25" customHeight="1" x14ac:dyDescent="0.2">
      <c r="A181" s="15">
        <f t="shared" si="31"/>
        <v>162</v>
      </c>
      <c r="B181" s="16">
        <f t="shared" si="26"/>
        <v>49827</v>
      </c>
      <c r="C181" s="20">
        <f t="shared" si="32"/>
        <v>284037.89028419525</v>
      </c>
      <c r="D181" s="20">
        <f t="shared" si="27"/>
        <v>2375.8148277293635</v>
      </c>
      <c r="E181" s="59">
        <f t="shared" si="33"/>
        <v>0</v>
      </c>
      <c r="F181" s="20">
        <f t="shared" si="28"/>
        <v>2375.8148277293635</v>
      </c>
      <c r="G181" s="20">
        <f t="shared" si="29"/>
        <v>778.10169488076508</v>
      </c>
      <c r="H181" s="20">
        <f t="shared" si="34"/>
        <v>1597.7131328485984</v>
      </c>
      <c r="I181" s="20">
        <f t="shared" si="30"/>
        <v>283259.7885893145</v>
      </c>
      <c r="J181" s="73"/>
      <c r="K181" s="22">
        <f t="shared" si="35"/>
        <v>83040.211410685544</v>
      </c>
      <c r="L181" s="22">
        <f t="shared" si="36"/>
        <v>301841.79068147135</v>
      </c>
    </row>
    <row r="182" spans="1:12" ht="14.25" customHeight="1" x14ac:dyDescent="0.2">
      <c r="A182" s="15">
        <f t="shared" si="31"/>
        <v>163</v>
      </c>
      <c r="B182" s="16">
        <f t="shared" si="26"/>
        <v>49857</v>
      </c>
      <c r="C182" s="20">
        <f t="shared" si="32"/>
        <v>283259.7885893145</v>
      </c>
      <c r="D182" s="20">
        <f t="shared" si="27"/>
        <v>2375.8148277293635</v>
      </c>
      <c r="E182" s="59">
        <f t="shared" si="33"/>
        <v>0</v>
      </c>
      <c r="F182" s="20">
        <f t="shared" si="28"/>
        <v>2375.8148277293635</v>
      </c>
      <c r="G182" s="20">
        <f t="shared" si="29"/>
        <v>782.47851691446931</v>
      </c>
      <c r="H182" s="20">
        <f t="shared" si="34"/>
        <v>1593.3363108148942</v>
      </c>
      <c r="I182" s="20">
        <f t="shared" si="30"/>
        <v>282477.31007240003</v>
      </c>
      <c r="J182" s="73"/>
      <c r="K182" s="22">
        <f t="shared" si="35"/>
        <v>83822.689927600019</v>
      </c>
      <c r="L182" s="22">
        <f t="shared" si="36"/>
        <v>303435.12699228624</v>
      </c>
    </row>
    <row r="183" spans="1:12" ht="14.25" customHeight="1" x14ac:dyDescent="0.2">
      <c r="A183" s="15">
        <f t="shared" si="31"/>
        <v>164</v>
      </c>
      <c r="B183" s="16">
        <f t="shared" si="26"/>
        <v>49888</v>
      </c>
      <c r="C183" s="20">
        <f t="shared" si="32"/>
        <v>282477.31007240003</v>
      </c>
      <c r="D183" s="20">
        <f t="shared" si="27"/>
        <v>2375.8148277293635</v>
      </c>
      <c r="E183" s="59">
        <f t="shared" si="33"/>
        <v>0</v>
      </c>
      <c r="F183" s="20">
        <f t="shared" si="28"/>
        <v>2375.8148277293635</v>
      </c>
      <c r="G183" s="20">
        <f t="shared" si="29"/>
        <v>786.87995857211331</v>
      </c>
      <c r="H183" s="20">
        <f t="shared" si="34"/>
        <v>1588.9348691572502</v>
      </c>
      <c r="I183" s="20">
        <f t="shared" si="30"/>
        <v>281690.43011382793</v>
      </c>
      <c r="J183" s="73"/>
      <c r="K183" s="22">
        <f t="shared" si="35"/>
        <v>84609.569886172132</v>
      </c>
      <c r="L183" s="22">
        <f t="shared" si="36"/>
        <v>305024.06186144351</v>
      </c>
    </row>
    <row r="184" spans="1:12" ht="14.25" customHeight="1" x14ac:dyDescent="0.2">
      <c r="A184" s="15">
        <f t="shared" si="31"/>
        <v>165</v>
      </c>
      <c r="B184" s="16">
        <f t="shared" si="26"/>
        <v>49919</v>
      </c>
      <c r="C184" s="20">
        <f t="shared" si="32"/>
        <v>281690.43011382793</v>
      </c>
      <c r="D184" s="20">
        <f t="shared" si="27"/>
        <v>2375.8148277293635</v>
      </c>
      <c r="E184" s="59">
        <f t="shared" si="33"/>
        <v>0</v>
      </c>
      <c r="F184" s="20">
        <f t="shared" si="28"/>
        <v>2375.8148277293635</v>
      </c>
      <c r="G184" s="20">
        <f t="shared" si="29"/>
        <v>791.30615833908132</v>
      </c>
      <c r="H184" s="20">
        <f t="shared" si="34"/>
        <v>1584.5086693902822</v>
      </c>
      <c r="I184" s="20">
        <f t="shared" si="30"/>
        <v>280899.12395548885</v>
      </c>
      <c r="J184" s="73"/>
      <c r="K184" s="22">
        <f t="shared" si="35"/>
        <v>85400.876044511213</v>
      </c>
      <c r="L184" s="22">
        <f t="shared" si="36"/>
        <v>306608.57053083379</v>
      </c>
    </row>
    <row r="185" spans="1:12" ht="14.25" customHeight="1" x14ac:dyDescent="0.2">
      <c r="A185" s="15">
        <f t="shared" si="31"/>
        <v>166</v>
      </c>
      <c r="B185" s="16">
        <f t="shared" si="26"/>
        <v>49949</v>
      </c>
      <c r="C185" s="20">
        <f t="shared" si="32"/>
        <v>280899.12395548885</v>
      </c>
      <c r="D185" s="20">
        <f t="shared" si="27"/>
        <v>2375.8148277293635</v>
      </c>
      <c r="E185" s="59">
        <f t="shared" si="33"/>
        <v>0</v>
      </c>
      <c r="F185" s="20">
        <f t="shared" si="28"/>
        <v>2375.8148277293635</v>
      </c>
      <c r="G185" s="20">
        <f t="shared" si="29"/>
        <v>795.75725547973866</v>
      </c>
      <c r="H185" s="20">
        <f t="shared" si="34"/>
        <v>1580.0575722496249</v>
      </c>
      <c r="I185" s="20">
        <f t="shared" si="30"/>
        <v>280103.36670000909</v>
      </c>
      <c r="J185" s="73"/>
      <c r="K185" s="22">
        <f t="shared" si="35"/>
        <v>86196.63329999095</v>
      </c>
      <c r="L185" s="22">
        <f t="shared" si="36"/>
        <v>308188.62810308341</v>
      </c>
    </row>
    <row r="186" spans="1:12" ht="14.25" customHeight="1" x14ac:dyDescent="0.2">
      <c r="A186" s="15">
        <f t="shared" si="31"/>
        <v>167</v>
      </c>
      <c r="B186" s="16">
        <f t="shared" si="26"/>
        <v>49980</v>
      </c>
      <c r="C186" s="20">
        <f t="shared" si="32"/>
        <v>280103.36670000909</v>
      </c>
      <c r="D186" s="20">
        <f t="shared" si="27"/>
        <v>2375.8148277293635</v>
      </c>
      <c r="E186" s="59">
        <f t="shared" si="33"/>
        <v>0</v>
      </c>
      <c r="F186" s="20">
        <f t="shared" si="28"/>
        <v>2375.8148277293635</v>
      </c>
      <c r="G186" s="20">
        <f t="shared" si="29"/>
        <v>800.2333900418123</v>
      </c>
      <c r="H186" s="20">
        <f t="shared" si="34"/>
        <v>1575.5814376875512</v>
      </c>
      <c r="I186" s="20">
        <f t="shared" si="30"/>
        <v>279303.13330996729</v>
      </c>
      <c r="J186" s="73"/>
      <c r="K186" s="22">
        <f t="shared" si="35"/>
        <v>86996.866690032766</v>
      </c>
      <c r="L186" s="22">
        <f t="shared" si="36"/>
        <v>309764.20954077097</v>
      </c>
    </row>
    <row r="187" spans="1:12" ht="14.25" customHeight="1" x14ac:dyDescent="0.2">
      <c r="A187" s="15">
        <f t="shared" si="31"/>
        <v>168</v>
      </c>
      <c r="B187" s="16">
        <f t="shared" si="26"/>
        <v>50010</v>
      </c>
      <c r="C187" s="20">
        <f t="shared" si="32"/>
        <v>279303.13330996729</v>
      </c>
      <c r="D187" s="20">
        <f t="shared" si="27"/>
        <v>2375.8148277293635</v>
      </c>
      <c r="E187" s="59">
        <f t="shared" si="33"/>
        <v>0</v>
      </c>
      <c r="F187" s="20">
        <f t="shared" si="28"/>
        <v>2375.8148277293635</v>
      </c>
      <c r="G187" s="20">
        <f t="shared" si="29"/>
        <v>804.7347028607976</v>
      </c>
      <c r="H187" s="20">
        <f t="shared" si="34"/>
        <v>1571.0801248685659</v>
      </c>
      <c r="I187" s="20">
        <f t="shared" si="30"/>
        <v>278498.39860710647</v>
      </c>
      <c r="J187" s="73"/>
      <c r="K187" s="22">
        <f t="shared" si="35"/>
        <v>87801.601392893557</v>
      </c>
      <c r="L187" s="22">
        <f t="shared" si="36"/>
        <v>311335.28966563952</v>
      </c>
    </row>
    <row r="188" spans="1:12" ht="14.25" customHeight="1" x14ac:dyDescent="0.2">
      <c r="A188" s="15">
        <f t="shared" si="31"/>
        <v>169</v>
      </c>
      <c r="B188" s="16">
        <f t="shared" si="26"/>
        <v>50041</v>
      </c>
      <c r="C188" s="20">
        <f t="shared" si="32"/>
        <v>278498.39860710647</v>
      </c>
      <c r="D188" s="20">
        <f t="shared" si="27"/>
        <v>2375.8148277293635</v>
      </c>
      <c r="E188" s="59">
        <f t="shared" si="33"/>
        <v>0</v>
      </c>
      <c r="F188" s="20">
        <f t="shared" si="28"/>
        <v>2375.8148277293635</v>
      </c>
      <c r="G188" s="20">
        <f t="shared" si="29"/>
        <v>809.26133556438936</v>
      </c>
      <c r="H188" s="20">
        <f t="shared" si="34"/>
        <v>1566.5534921649742</v>
      </c>
      <c r="I188" s="20">
        <f t="shared" si="30"/>
        <v>277689.1372715421</v>
      </c>
      <c r="J188" s="73"/>
      <c r="K188" s="22">
        <f t="shared" si="35"/>
        <v>88610.862728457942</v>
      </c>
      <c r="L188" s="22">
        <f t="shared" si="36"/>
        <v>312901.84315780451</v>
      </c>
    </row>
    <row r="189" spans="1:12" ht="14.25" customHeight="1" x14ac:dyDescent="0.2">
      <c r="A189" s="15">
        <f t="shared" si="31"/>
        <v>170</v>
      </c>
      <c r="B189" s="16">
        <f t="shared" si="26"/>
        <v>50072</v>
      </c>
      <c r="C189" s="20">
        <f t="shared" si="32"/>
        <v>277689.1372715421</v>
      </c>
      <c r="D189" s="20">
        <f t="shared" si="27"/>
        <v>2375.8148277293635</v>
      </c>
      <c r="E189" s="59">
        <f t="shared" si="33"/>
        <v>0</v>
      </c>
      <c r="F189" s="20">
        <f t="shared" si="28"/>
        <v>2375.8148277293635</v>
      </c>
      <c r="G189" s="20">
        <f t="shared" si="29"/>
        <v>813.81343057693925</v>
      </c>
      <c r="H189" s="20">
        <f t="shared" si="34"/>
        <v>1562.0013971524243</v>
      </c>
      <c r="I189" s="20">
        <f t="shared" si="30"/>
        <v>276875.32384096517</v>
      </c>
      <c r="J189" s="73"/>
      <c r="K189" s="22">
        <f t="shared" si="35"/>
        <v>89424.676159034876</v>
      </c>
      <c r="L189" s="22">
        <f t="shared" si="36"/>
        <v>314463.84455495694</v>
      </c>
    </row>
    <row r="190" spans="1:12" ht="14.25" customHeight="1" x14ac:dyDescent="0.2">
      <c r="A190" s="15">
        <f t="shared" si="31"/>
        <v>171</v>
      </c>
      <c r="B190" s="16">
        <f t="shared" si="26"/>
        <v>50100</v>
      </c>
      <c r="C190" s="20">
        <f t="shared" si="32"/>
        <v>276875.32384096517</v>
      </c>
      <c r="D190" s="20">
        <f t="shared" si="27"/>
        <v>2375.8148277293635</v>
      </c>
      <c r="E190" s="59">
        <f t="shared" si="33"/>
        <v>0</v>
      </c>
      <c r="F190" s="20">
        <f t="shared" si="28"/>
        <v>2375.8148277293635</v>
      </c>
      <c r="G190" s="20">
        <f t="shared" si="29"/>
        <v>818.3911311239342</v>
      </c>
      <c r="H190" s="20">
        <f t="shared" si="34"/>
        <v>1557.4236966054293</v>
      </c>
      <c r="I190" s="20">
        <f t="shared" si="30"/>
        <v>276056.93270984123</v>
      </c>
      <c r="J190" s="73"/>
      <c r="K190" s="22">
        <f t="shared" si="35"/>
        <v>90243.067290158811</v>
      </c>
      <c r="L190" s="22">
        <f t="shared" si="36"/>
        <v>316021.26825156237</v>
      </c>
    </row>
    <row r="191" spans="1:12" ht="14.25" customHeight="1" x14ac:dyDescent="0.2">
      <c r="A191" s="15">
        <f t="shared" si="31"/>
        <v>172</v>
      </c>
      <c r="B191" s="16">
        <f t="shared" si="26"/>
        <v>50131</v>
      </c>
      <c r="C191" s="20">
        <f t="shared" si="32"/>
        <v>276056.93270984123</v>
      </c>
      <c r="D191" s="20">
        <f t="shared" si="27"/>
        <v>2375.8148277293635</v>
      </c>
      <c r="E191" s="59">
        <f t="shared" si="33"/>
        <v>0</v>
      </c>
      <c r="F191" s="20">
        <f t="shared" si="28"/>
        <v>2375.8148277293635</v>
      </c>
      <c r="G191" s="20">
        <f t="shared" si="29"/>
        <v>822.99458123650652</v>
      </c>
      <c r="H191" s="20">
        <f t="shared" si="34"/>
        <v>1552.820246492857</v>
      </c>
      <c r="I191" s="20">
        <f t="shared" si="30"/>
        <v>275233.93812860473</v>
      </c>
      <c r="J191" s="73"/>
      <c r="K191" s="22">
        <f t="shared" si="35"/>
        <v>91066.061871395315</v>
      </c>
      <c r="L191" s="22">
        <f t="shared" si="36"/>
        <v>317574.08849805524</v>
      </c>
    </row>
    <row r="192" spans="1:12" ht="14.25" customHeight="1" x14ac:dyDescent="0.2">
      <c r="A192" s="15">
        <f t="shared" si="31"/>
        <v>173</v>
      </c>
      <c r="B192" s="16">
        <f t="shared" si="26"/>
        <v>50161</v>
      </c>
      <c r="C192" s="20">
        <f t="shared" si="32"/>
        <v>275233.93812860473</v>
      </c>
      <c r="D192" s="20">
        <f t="shared" si="27"/>
        <v>2375.8148277293635</v>
      </c>
      <c r="E192" s="59">
        <f t="shared" si="33"/>
        <v>0</v>
      </c>
      <c r="F192" s="20">
        <f t="shared" si="28"/>
        <v>2375.8148277293635</v>
      </c>
      <c r="G192" s="20">
        <f t="shared" si="29"/>
        <v>827.62392575596164</v>
      </c>
      <c r="H192" s="20">
        <f t="shared" si="34"/>
        <v>1548.1909019734019</v>
      </c>
      <c r="I192" s="20">
        <f t="shared" si="30"/>
        <v>274406.31420284876</v>
      </c>
      <c r="J192" s="73"/>
      <c r="K192" s="22">
        <f t="shared" si="35"/>
        <v>91893.68579715128</v>
      </c>
      <c r="L192" s="22">
        <f t="shared" si="36"/>
        <v>319122.27940002864</v>
      </c>
    </row>
    <row r="193" spans="1:12" ht="14.25" customHeight="1" x14ac:dyDescent="0.2">
      <c r="A193" s="15">
        <f t="shared" si="31"/>
        <v>174</v>
      </c>
      <c r="B193" s="16">
        <f t="shared" si="26"/>
        <v>50192</v>
      </c>
      <c r="C193" s="20">
        <f t="shared" si="32"/>
        <v>274406.31420284876</v>
      </c>
      <c r="D193" s="20">
        <f t="shared" si="27"/>
        <v>2375.8148277293635</v>
      </c>
      <c r="E193" s="59">
        <f t="shared" si="33"/>
        <v>0</v>
      </c>
      <c r="F193" s="20">
        <f t="shared" si="28"/>
        <v>2375.8148277293635</v>
      </c>
      <c r="G193" s="20">
        <f t="shared" si="29"/>
        <v>832.27931033833897</v>
      </c>
      <c r="H193" s="20">
        <f t="shared" si="34"/>
        <v>1543.5355173910245</v>
      </c>
      <c r="I193" s="20">
        <f t="shared" si="30"/>
        <v>273574.03489251045</v>
      </c>
      <c r="J193" s="73"/>
      <c r="K193" s="22">
        <f t="shared" si="35"/>
        <v>92725.965107489625</v>
      </c>
      <c r="L193" s="22">
        <f t="shared" si="36"/>
        <v>320665.81491741969</v>
      </c>
    </row>
    <row r="194" spans="1:12" ht="14.25" customHeight="1" x14ac:dyDescent="0.2">
      <c r="A194" s="15">
        <f t="shared" si="31"/>
        <v>175</v>
      </c>
      <c r="B194" s="16">
        <f t="shared" si="26"/>
        <v>50222</v>
      </c>
      <c r="C194" s="20">
        <f t="shared" si="32"/>
        <v>273574.03489251045</v>
      </c>
      <c r="D194" s="20">
        <f t="shared" si="27"/>
        <v>2375.8148277293635</v>
      </c>
      <c r="E194" s="59">
        <f t="shared" si="33"/>
        <v>0</v>
      </c>
      <c r="F194" s="20">
        <f t="shared" si="28"/>
        <v>2375.8148277293635</v>
      </c>
      <c r="G194" s="20">
        <f t="shared" si="29"/>
        <v>836.96088145899216</v>
      </c>
      <c r="H194" s="20">
        <f t="shared" si="34"/>
        <v>1538.8539462703714</v>
      </c>
      <c r="I194" s="20">
        <f t="shared" si="30"/>
        <v>272737.07401105145</v>
      </c>
      <c r="J194" s="73"/>
      <c r="K194" s="22">
        <f t="shared" si="35"/>
        <v>93562.925988948613</v>
      </c>
      <c r="L194" s="22">
        <f t="shared" si="36"/>
        <v>322204.66886369005</v>
      </c>
    </row>
    <row r="195" spans="1:12" ht="14.25" customHeight="1" x14ac:dyDescent="0.2">
      <c r="A195" s="15">
        <f t="shared" si="31"/>
        <v>176</v>
      </c>
      <c r="B195" s="16">
        <f t="shared" si="26"/>
        <v>50253</v>
      </c>
      <c r="C195" s="20">
        <f t="shared" si="32"/>
        <v>272737.07401105145</v>
      </c>
      <c r="D195" s="20">
        <f t="shared" si="27"/>
        <v>2375.8148277293635</v>
      </c>
      <c r="E195" s="59">
        <f t="shared" si="33"/>
        <v>0</v>
      </c>
      <c r="F195" s="20">
        <f t="shared" si="28"/>
        <v>2375.8148277293635</v>
      </c>
      <c r="G195" s="20">
        <f t="shared" si="29"/>
        <v>841.66878641719882</v>
      </c>
      <c r="H195" s="20">
        <f t="shared" si="34"/>
        <v>1534.1460413121647</v>
      </c>
      <c r="I195" s="20">
        <f t="shared" si="30"/>
        <v>271895.40522463422</v>
      </c>
      <c r="J195" s="73"/>
      <c r="K195" s="22">
        <f t="shared" si="35"/>
        <v>94404.594775365811</v>
      </c>
      <c r="L195" s="22">
        <f t="shared" si="36"/>
        <v>323738.81490500219</v>
      </c>
    </row>
    <row r="196" spans="1:12" ht="14.25" customHeight="1" x14ac:dyDescent="0.2">
      <c r="A196" s="15">
        <f t="shared" si="31"/>
        <v>177</v>
      </c>
      <c r="B196" s="16">
        <f t="shared" si="26"/>
        <v>50284</v>
      </c>
      <c r="C196" s="20">
        <f t="shared" si="32"/>
        <v>271895.40522463422</v>
      </c>
      <c r="D196" s="20">
        <f t="shared" si="27"/>
        <v>2375.8148277293635</v>
      </c>
      <c r="E196" s="59">
        <f t="shared" si="33"/>
        <v>0</v>
      </c>
      <c r="F196" s="20">
        <f t="shared" si="28"/>
        <v>2375.8148277293635</v>
      </c>
      <c r="G196" s="20">
        <f t="shared" si="29"/>
        <v>846.403173340796</v>
      </c>
      <c r="H196" s="20">
        <f t="shared" si="34"/>
        <v>1529.4116543885675</v>
      </c>
      <c r="I196" s="20">
        <f t="shared" si="30"/>
        <v>271049.00205129344</v>
      </c>
      <c r="J196" s="73"/>
      <c r="K196" s="22">
        <f t="shared" si="35"/>
        <v>95250.997948706601</v>
      </c>
      <c r="L196" s="22">
        <f t="shared" si="36"/>
        <v>325268.22655939078</v>
      </c>
    </row>
    <row r="197" spans="1:12" ht="14.25" customHeight="1" x14ac:dyDescent="0.2">
      <c r="A197" s="15">
        <f t="shared" si="31"/>
        <v>178</v>
      </c>
      <c r="B197" s="16">
        <f t="shared" si="26"/>
        <v>50314</v>
      </c>
      <c r="C197" s="20">
        <f t="shared" si="32"/>
        <v>271049.00205129344</v>
      </c>
      <c r="D197" s="20">
        <f t="shared" si="27"/>
        <v>2375.8148277293635</v>
      </c>
      <c r="E197" s="59">
        <f t="shared" si="33"/>
        <v>0</v>
      </c>
      <c r="F197" s="20">
        <f t="shared" si="28"/>
        <v>2375.8148277293635</v>
      </c>
      <c r="G197" s="20">
        <f t="shared" si="29"/>
        <v>851.16419119083776</v>
      </c>
      <c r="H197" s="20">
        <f t="shared" si="34"/>
        <v>1524.6506365385258</v>
      </c>
      <c r="I197" s="20">
        <f t="shared" si="30"/>
        <v>270197.83786010259</v>
      </c>
      <c r="J197" s="73"/>
      <c r="K197" s="22">
        <f t="shared" si="35"/>
        <v>96102.162139897438</v>
      </c>
      <c r="L197" s="22">
        <f t="shared" si="36"/>
        <v>326792.87719592929</v>
      </c>
    </row>
    <row r="198" spans="1:12" ht="14.25" customHeight="1" x14ac:dyDescent="0.2">
      <c r="A198" s="15">
        <f t="shared" si="31"/>
        <v>179</v>
      </c>
      <c r="B198" s="16">
        <f t="shared" si="26"/>
        <v>50345</v>
      </c>
      <c r="C198" s="20">
        <f t="shared" si="32"/>
        <v>270197.83786010259</v>
      </c>
      <c r="D198" s="20">
        <f t="shared" si="27"/>
        <v>2375.8148277293635</v>
      </c>
      <c r="E198" s="59">
        <f t="shared" si="33"/>
        <v>0</v>
      </c>
      <c r="F198" s="20">
        <f t="shared" si="28"/>
        <v>2375.8148277293635</v>
      </c>
      <c r="G198" s="20">
        <f t="shared" si="29"/>
        <v>855.95198976628626</v>
      </c>
      <c r="H198" s="20">
        <f t="shared" si="34"/>
        <v>1519.8628379630773</v>
      </c>
      <c r="I198" s="20">
        <f t="shared" si="30"/>
        <v>269341.88587033632</v>
      </c>
      <c r="J198" s="73"/>
      <c r="K198" s="22">
        <f t="shared" si="35"/>
        <v>96958.114129663722</v>
      </c>
      <c r="L198" s="22">
        <f t="shared" si="36"/>
        <v>328312.74003389239</v>
      </c>
    </row>
    <row r="199" spans="1:12" ht="14.25" customHeight="1" x14ac:dyDescent="0.2">
      <c r="A199" s="15">
        <f t="shared" si="31"/>
        <v>180</v>
      </c>
      <c r="B199" s="16">
        <f t="shared" si="26"/>
        <v>50375</v>
      </c>
      <c r="C199" s="20">
        <f t="shared" si="32"/>
        <v>269341.88587033632</v>
      </c>
      <c r="D199" s="20">
        <f t="shared" si="27"/>
        <v>2375.8148277293635</v>
      </c>
      <c r="E199" s="59">
        <f t="shared" si="33"/>
        <v>0</v>
      </c>
      <c r="F199" s="20">
        <f t="shared" si="28"/>
        <v>2375.8148277293635</v>
      </c>
      <c r="G199" s="20">
        <f t="shared" si="29"/>
        <v>860.76671970872167</v>
      </c>
      <c r="H199" s="20">
        <f t="shared" si="34"/>
        <v>1515.0481080206418</v>
      </c>
      <c r="I199" s="20">
        <f t="shared" si="30"/>
        <v>268481.11915062758</v>
      </c>
      <c r="J199" s="73"/>
      <c r="K199" s="22">
        <f t="shared" si="35"/>
        <v>97818.88084937245</v>
      </c>
      <c r="L199" s="22">
        <f t="shared" si="36"/>
        <v>329827.78814191301</v>
      </c>
    </row>
    <row r="200" spans="1:12" ht="14.25" customHeight="1" x14ac:dyDescent="0.2">
      <c r="A200" s="15">
        <f t="shared" si="31"/>
        <v>181</v>
      </c>
      <c r="B200" s="16">
        <f t="shared" si="26"/>
        <v>50406</v>
      </c>
      <c r="C200" s="20">
        <f t="shared" si="32"/>
        <v>268481.11915062758</v>
      </c>
      <c r="D200" s="20">
        <f t="shared" si="27"/>
        <v>2375.8148277293635</v>
      </c>
      <c r="E200" s="59">
        <f t="shared" si="33"/>
        <v>0</v>
      </c>
      <c r="F200" s="20">
        <f t="shared" si="28"/>
        <v>2375.8148277293635</v>
      </c>
      <c r="G200" s="20">
        <f t="shared" si="29"/>
        <v>865.60853250708328</v>
      </c>
      <c r="H200" s="20">
        <f t="shared" si="34"/>
        <v>1510.2062952222802</v>
      </c>
      <c r="I200" s="20">
        <f t="shared" si="30"/>
        <v>267615.51061812049</v>
      </c>
      <c r="J200" s="73"/>
      <c r="K200" s="22">
        <f t="shared" si="35"/>
        <v>98684.489381879539</v>
      </c>
      <c r="L200" s="22">
        <f t="shared" si="36"/>
        <v>331337.99443713529</v>
      </c>
    </row>
    <row r="201" spans="1:12" ht="14.25" customHeight="1" x14ac:dyDescent="0.2">
      <c r="A201" s="15">
        <f t="shared" si="31"/>
        <v>182</v>
      </c>
      <c r="B201" s="16">
        <f t="shared" si="26"/>
        <v>50437</v>
      </c>
      <c r="C201" s="20">
        <f t="shared" si="32"/>
        <v>267615.51061812049</v>
      </c>
      <c r="D201" s="20">
        <f t="shared" si="27"/>
        <v>2375.8148277293635</v>
      </c>
      <c r="E201" s="59">
        <f t="shared" si="33"/>
        <v>0</v>
      </c>
      <c r="F201" s="20">
        <f t="shared" si="28"/>
        <v>2375.8148277293635</v>
      </c>
      <c r="G201" s="20">
        <f t="shared" si="29"/>
        <v>870.47758050243579</v>
      </c>
      <c r="H201" s="20">
        <f t="shared" si="34"/>
        <v>1505.3372472269277</v>
      </c>
      <c r="I201" s="20">
        <f t="shared" si="30"/>
        <v>266745.03303761804</v>
      </c>
      <c r="J201" s="73"/>
      <c r="K201" s="22">
        <f t="shared" si="35"/>
        <v>99554.966962381979</v>
      </c>
      <c r="L201" s="22">
        <f t="shared" si="36"/>
        <v>332843.3316843622</v>
      </c>
    </row>
    <row r="202" spans="1:12" ht="14.25" customHeight="1" x14ac:dyDescent="0.2">
      <c r="A202" s="15">
        <f t="shared" si="31"/>
        <v>183</v>
      </c>
      <c r="B202" s="16">
        <f t="shared" si="26"/>
        <v>50465</v>
      </c>
      <c r="C202" s="20">
        <f t="shared" si="32"/>
        <v>266745.03303761804</v>
      </c>
      <c r="D202" s="20">
        <f t="shared" si="27"/>
        <v>2375.8148277293635</v>
      </c>
      <c r="E202" s="59">
        <f t="shared" si="33"/>
        <v>0</v>
      </c>
      <c r="F202" s="20">
        <f t="shared" si="28"/>
        <v>2375.8148277293635</v>
      </c>
      <c r="G202" s="20">
        <f t="shared" si="29"/>
        <v>875.37401689276203</v>
      </c>
      <c r="H202" s="20">
        <f t="shared" si="34"/>
        <v>1500.4408108366015</v>
      </c>
      <c r="I202" s="20">
        <f t="shared" si="30"/>
        <v>265869.65902072529</v>
      </c>
      <c r="J202" s="73"/>
      <c r="K202" s="22">
        <f t="shared" si="35"/>
        <v>100430.34097927474</v>
      </c>
      <c r="L202" s="22">
        <f t="shared" si="36"/>
        <v>334343.77249519882</v>
      </c>
    </row>
    <row r="203" spans="1:12" ht="14.25" customHeight="1" x14ac:dyDescent="0.2">
      <c r="A203" s="15">
        <f t="shared" si="31"/>
        <v>184</v>
      </c>
      <c r="B203" s="16">
        <f t="shared" si="26"/>
        <v>50496</v>
      </c>
      <c r="C203" s="20">
        <f t="shared" si="32"/>
        <v>265869.65902072529</v>
      </c>
      <c r="D203" s="20">
        <f t="shared" si="27"/>
        <v>2375.8148277293635</v>
      </c>
      <c r="E203" s="59">
        <f t="shared" si="33"/>
        <v>0</v>
      </c>
      <c r="F203" s="20">
        <f t="shared" si="28"/>
        <v>2375.8148277293635</v>
      </c>
      <c r="G203" s="20">
        <f t="shared" si="29"/>
        <v>880.29799573778359</v>
      </c>
      <c r="H203" s="20">
        <f t="shared" si="34"/>
        <v>1495.5168319915799</v>
      </c>
      <c r="I203" s="20">
        <f t="shared" si="30"/>
        <v>264989.36102498748</v>
      </c>
      <c r="J203" s="73"/>
      <c r="K203" s="22">
        <f t="shared" si="35"/>
        <v>101310.63897501252</v>
      </c>
      <c r="L203" s="22">
        <f t="shared" si="36"/>
        <v>335839.28932719037</v>
      </c>
    </row>
    <row r="204" spans="1:12" ht="14.25" customHeight="1" x14ac:dyDescent="0.2">
      <c r="A204" s="15">
        <f t="shared" si="31"/>
        <v>185</v>
      </c>
      <c r="B204" s="16">
        <f t="shared" si="26"/>
        <v>50526</v>
      </c>
      <c r="C204" s="20">
        <f t="shared" si="32"/>
        <v>264989.36102498748</v>
      </c>
      <c r="D204" s="20">
        <f t="shared" si="27"/>
        <v>2375.8148277293635</v>
      </c>
      <c r="E204" s="59">
        <f t="shared" si="33"/>
        <v>0</v>
      </c>
      <c r="F204" s="20">
        <f t="shared" si="28"/>
        <v>2375.8148277293635</v>
      </c>
      <c r="G204" s="20">
        <f t="shared" si="29"/>
        <v>885.24967196380885</v>
      </c>
      <c r="H204" s="20">
        <f t="shared" si="34"/>
        <v>1490.5651557655547</v>
      </c>
      <c r="I204" s="20">
        <f t="shared" si="30"/>
        <v>264104.11135302368</v>
      </c>
      <c r="J204" s="73"/>
      <c r="K204" s="22">
        <f t="shared" si="35"/>
        <v>102195.88864697634</v>
      </c>
      <c r="L204" s="22">
        <f t="shared" si="36"/>
        <v>337329.85448295594</v>
      </c>
    </row>
    <row r="205" spans="1:12" ht="14.25" customHeight="1" x14ac:dyDescent="0.2">
      <c r="A205" s="15">
        <f t="shared" si="31"/>
        <v>186</v>
      </c>
      <c r="B205" s="16">
        <f t="shared" si="26"/>
        <v>50557</v>
      </c>
      <c r="C205" s="20">
        <f t="shared" si="32"/>
        <v>264104.11135302368</v>
      </c>
      <c r="D205" s="20">
        <f t="shared" si="27"/>
        <v>2375.8148277293635</v>
      </c>
      <c r="E205" s="59">
        <f t="shared" si="33"/>
        <v>0</v>
      </c>
      <c r="F205" s="20">
        <f t="shared" si="28"/>
        <v>2375.8148277293635</v>
      </c>
      <c r="G205" s="20">
        <f t="shared" si="29"/>
        <v>890.22920136860512</v>
      </c>
      <c r="H205" s="20">
        <f t="shared" si="34"/>
        <v>1485.5856263607584</v>
      </c>
      <c r="I205" s="20">
        <f t="shared" si="30"/>
        <v>263213.8821516551</v>
      </c>
      <c r="J205" s="73"/>
      <c r="K205" s="22">
        <f t="shared" si="35"/>
        <v>103086.11784834495</v>
      </c>
      <c r="L205" s="22">
        <f t="shared" si="36"/>
        <v>338815.44010931673</v>
      </c>
    </row>
    <row r="206" spans="1:12" ht="14.25" customHeight="1" x14ac:dyDescent="0.2">
      <c r="A206" s="15">
        <f t="shared" si="31"/>
        <v>187</v>
      </c>
      <c r="B206" s="16">
        <f t="shared" si="26"/>
        <v>50587</v>
      </c>
      <c r="C206" s="20">
        <f t="shared" si="32"/>
        <v>263213.8821516551</v>
      </c>
      <c r="D206" s="20">
        <f t="shared" si="27"/>
        <v>2375.8148277293635</v>
      </c>
      <c r="E206" s="59">
        <f t="shared" si="33"/>
        <v>0</v>
      </c>
      <c r="F206" s="20">
        <f t="shared" si="28"/>
        <v>2375.8148277293635</v>
      </c>
      <c r="G206" s="20">
        <f t="shared" si="29"/>
        <v>895.23674062630357</v>
      </c>
      <c r="H206" s="20">
        <f t="shared" si="34"/>
        <v>1480.5780871030599</v>
      </c>
      <c r="I206" s="20">
        <f t="shared" si="30"/>
        <v>262318.64541102882</v>
      </c>
      <c r="J206" s="73"/>
      <c r="K206" s="22">
        <f t="shared" si="35"/>
        <v>103981.35458897125</v>
      </c>
      <c r="L206" s="22">
        <f t="shared" si="36"/>
        <v>340296.01819641981</v>
      </c>
    </row>
    <row r="207" spans="1:12" ht="14.25" customHeight="1" x14ac:dyDescent="0.2">
      <c r="A207" s="15">
        <f t="shared" si="31"/>
        <v>188</v>
      </c>
      <c r="B207" s="16">
        <f t="shared" si="26"/>
        <v>50618</v>
      </c>
      <c r="C207" s="20">
        <f t="shared" si="32"/>
        <v>262318.64541102882</v>
      </c>
      <c r="D207" s="20">
        <f t="shared" si="27"/>
        <v>2375.8148277293635</v>
      </c>
      <c r="E207" s="59">
        <f t="shared" si="33"/>
        <v>0</v>
      </c>
      <c r="F207" s="20">
        <f t="shared" si="28"/>
        <v>2375.8148277293635</v>
      </c>
      <c r="G207" s="20">
        <f t="shared" si="29"/>
        <v>900.27244729232621</v>
      </c>
      <c r="H207" s="20">
        <f t="shared" si="34"/>
        <v>1475.5423804370373</v>
      </c>
      <c r="I207" s="20">
        <f t="shared" si="30"/>
        <v>261418.3729637365</v>
      </c>
      <c r="J207" s="73"/>
      <c r="K207" s="22">
        <f t="shared" si="35"/>
        <v>104881.62703626358</v>
      </c>
      <c r="L207" s="22">
        <f t="shared" si="36"/>
        <v>341771.56057685683</v>
      </c>
    </row>
    <row r="208" spans="1:12" ht="14.25" customHeight="1" x14ac:dyDescent="0.2">
      <c r="A208" s="15">
        <f t="shared" si="31"/>
        <v>189</v>
      </c>
      <c r="B208" s="16">
        <f t="shared" si="26"/>
        <v>50649</v>
      </c>
      <c r="C208" s="20">
        <f t="shared" si="32"/>
        <v>261418.3729637365</v>
      </c>
      <c r="D208" s="20">
        <f t="shared" si="27"/>
        <v>2375.8148277293635</v>
      </c>
      <c r="E208" s="59">
        <f t="shared" si="33"/>
        <v>0</v>
      </c>
      <c r="F208" s="20">
        <f t="shared" si="28"/>
        <v>2375.8148277293635</v>
      </c>
      <c r="G208" s="20">
        <f t="shared" si="29"/>
        <v>905.33647980834553</v>
      </c>
      <c r="H208" s="20">
        <f t="shared" si="34"/>
        <v>1470.478347921018</v>
      </c>
      <c r="I208" s="20">
        <f t="shared" si="30"/>
        <v>260513.03648392815</v>
      </c>
      <c r="J208" s="73"/>
      <c r="K208" s="22">
        <f t="shared" si="35"/>
        <v>105786.96351607193</v>
      </c>
      <c r="L208" s="22">
        <f t="shared" si="36"/>
        <v>343242.03892477788</v>
      </c>
    </row>
    <row r="209" spans="1:12" ht="14.25" customHeight="1" x14ac:dyDescent="0.2">
      <c r="A209" s="15">
        <f t="shared" si="31"/>
        <v>190</v>
      </c>
      <c r="B209" s="16">
        <f t="shared" si="26"/>
        <v>50679</v>
      </c>
      <c r="C209" s="20">
        <f t="shared" si="32"/>
        <v>260513.03648392815</v>
      </c>
      <c r="D209" s="20">
        <f t="shared" si="27"/>
        <v>2375.8148277293635</v>
      </c>
      <c r="E209" s="59">
        <f t="shared" si="33"/>
        <v>0</v>
      </c>
      <c r="F209" s="20">
        <f t="shared" si="28"/>
        <v>2375.8148277293635</v>
      </c>
      <c r="G209" s="20">
        <f t="shared" si="29"/>
        <v>910.42899750726747</v>
      </c>
      <c r="H209" s="20">
        <f t="shared" si="34"/>
        <v>1465.385830222096</v>
      </c>
      <c r="I209" s="20">
        <f t="shared" si="30"/>
        <v>259602.60748642089</v>
      </c>
      <c r="J209" s="73"/>
      <c r="K209" s="22">
        <f t="shared" si="35"/>
        <v>106697.39251357919</v>
      </c>
      <c r="L209" s="22">
        <f t="shared" si="36"/>
        <v>344707.42475499999</v>
      </c>
    </row>
    <row r="210" spans="1:12" ht="14.25" customHeight="1" x14ac:dyDescent="0.2">
      <c r="A210" s="15">
        <f t="shared" si="31"/>
        <v>191</v>
      </c>
      <c r="B210" s="16">
        <f t="shared" si="26"/>
        <v>50710</v>
      </c>
      <c r="C210" s="20">
        <f t="shared" si="32"/>
        <v>259602.60748642089</v>
      </c>
      <c r="D210" s="20">
        <f t="shared" si="27"/>
        <v>2375.8148277293635</v>
      </c>
      <c r="E210" s="59">
        <f t="shared" si="33"/>
        <v>0</v>
      </c>
      <c r="F210" s="20">
        <f t="shared" si="28"/>
        <v>2375.8148277293635</v>
      </c>
      <c r="G210" s="20">
        <f t="shared" si="29"/>
        <v>915.55016061824585</v>
      </c>
      <c r="H210" s="20">
        <f t="shared" si="34"/>
        <v>1460.2646671111177</v>
      </c>
      <c r="I210" s="20">
        <f t="shared" si="30"/>
        <v>258687.05732580266</v>
      </c>
      <c r="J210" s="73"/>
      <c r="K210" s="22">
        <f t="shared" si="35"/>
        <v>107612.94267419745</v>
      </c>
      <c r="L210" s="22">
        <f t="shared" si="36"/>
        <v>346167.68942211109</v>
      </c>
    </row>
    <row r="211" spans="1:12" ht="14.25" customHeight="1" x14ac:dyDescent="0.2">
      <c r="A211" s="15">
        <f t="shared" si="31"/>
        <v>192</v>
      </c>
      <c r="B211" s="16">
        <f t="shared" si="26"/>
        <v>50740</v>
      </c>
      <c r="C211" s="20">
        <f t="shared" si="32"/>
        <v>258687.05732580266</v>
      </c>
      <c r="D211" s="20">
        <f t="shared" si="27"/>
        <v>2375.8148277293635</v>
      </c>
      <c r="E211" s="59">
        <f t="shared" si="33"/>
        <v>0</v>
      </c>
      <c r="F211" s="20">
        <f t="shared" si="28"/>
        <v>2375.8148277293635</v>
      </c>
      <c r="G211" s="20">
        <f t="shared" si="29"/>
        <v>920.70013027172331</v>
      </c>
      <c r="H211" s="20">
        <f t="shared" si="34"/>
        <v>1455.1146974576402</v>
      </c>
      <c r="I211" s="20">
        <f t="shared" si="30"/>
        <v>257766.35719553093</v>
      </c>
      <c r="J211" s="73"/>
      <c r="K211" s="22">
        <f t="shared" si="35"/>
        <v>108533.64280446917</v>
      </c>
      <c r="L211" s="22">
        <f t="shared" si="36"/>
        <v>347622.80411956873</v>
      </c>
    </row>
    <row r="212" spans="1:12" ht="14.25" customHeight="1" x14ac:dyDescent="0.2">
      <c r="A212" s="15">
        <f t="shared" si="31"/>
        <v>193</v>
      </c>
      <c r="B212" s="16">
        <f t="shared" ref="B212:B275" si="37">IF(Pay_Num&lt;&gt;"",DATE(YEAR(Loan_Start),MONTH(Loan_Start)+(Pay_Num)*12/Num_Pmt_Per_Year,DAY(Loan_Start)),"")</f>
        <v>50771</v>
      </c>
      <c r="C212" s="20">
        <f t="shared" si="32"/>
        <v>257766.35719553093</v>
      </c>
      <c r="D212" s="20">
        <f t="shared" ref="D212:D275" si="38">IF($AG$14&lt;&gt;"",(IF(A212&lt;=$AG$15,(Loan_Amount*Interest_Rate/12),(Loan_Amount*((Interest_Rate/12+1)-1)/(1-((Interest_Rate/12+1)^(Loan_Years*-12+$AG$15)))))),(Loan_Amount*((Interest_Rate/12+1)-1)/(1-((Interest_Rate/12+1)^(Loan_Years*-12)))))</f>
        <v>2375.8148277293635</v>
      </c>
      <c r="E212" s="59">
        <f t="shared" si="33"/>
        <v>0</v>
      </c>
      <c r="F212" s="20">
        <f t="shared" ref="F212:F275" si="39">IF(AND(Pay_Num&lt;&gt;"",Sched_Pay+Extra_Pay&lt;Beg_Bal),Sched_Pay+Extra_Pay,IF(Pay_Num&lt;&gt;"",Beg_Bal,""))</f>
        <v>2375.8148277293635</v>
      </c>
      <c r="G212" s="20">
        <f t="shared" ref="G212:G275" si="40">IF(Pay_Num&lt;&gt;"",Total_Pay-Int,"")</f>
        <v>925.8790685045019</v>
      </c>
      <c r="H212" s="20">
        <f t="shared" si="34"/>
        <v>1449.9357592248616</v>
      </c>
      <c r="I212" s="20">
        <f t="shared" ref="I212:I275" si="41">IF(AND(Pay_Num&lt;&gt;"",Sched_Pay+Extra_Pay&lt;Beg_Bal),Beg_Bal-Princ,IF(Pay_Num&lt;&gt;"",0,""))</f>
        <v>256840.47812702644</v>
      </c>
      <c r="J212" s="73"/>
      <c r="K212" s="22">
        <f t="shared" si="35"/>
        <v>109459.52187297367</v>
      </c>
      <c r="L212" s="22">
        <f t="shared" si="36"/>
        <v>349072.7398787936</v>
      </c>
    </row>
    <row r="213" spans="1:12" ht="14.25" customHeight="1" x14ac:dyDescent="0.2">
      <c r="A213" s="15">
        <f t="shared" ref="A213:A276" si="42">IF(values_entered,A212+1,"")</f>
        <v>194</v>
      </c>
      <c r="B213" s="16">
        <f t="shared" si="37"/>
        <v>50802</v>
      </c>
      <c r="C213" s="20">
        <f t="shared" ref="C213:C276" si="43">IF(Pay_Num&lt;&gt;"",I212,"")</f>
        <v>256840.47812702644</v>
      </c>
      <c r="D213" s="20">
        <f t="shared" si="38"/>
        <v>2375.8148277293635</v>
      </c>
      <c r="E213" s="59">
        <f t="shared" ref="E213:E276" si="44">$D$13</f>
        <v>0</v>
      </c>
      <c r="F213" s="20">
        <f t="shared" si="39"/>
        <v>2375.8148277293635</v>
      </c>
      <c r="G213" s="20">
        <f t="shared" si="40"/>
        <v>931.08713826483972</v>
      </c>
      <c r="H213" s="20">
        <f t="shared" ref="H213:H276" si="45">IF(Pay_Num&lt;&gt;"",Beg_Bal*Interest_Rate/Num_Pmt_Per_Year,"")</f>
        <v>1444.7276894645238</v>
      </c>
      <c r="I213" s="20">
        <f t="shared" si="41"/>
        <v>255909.39098876159</v>
      </c>
      <c r="J213" s="73"/>
      <c r="K213" s="22">
        <f t="shared" ref="K213:K276" si="46">G213+K212</f>
        <v>110390.6090112385</v>
      </c>
      <c r="L213" s="22">
        <f t="shared" ref="L213:L276" si="47">L212+H213</f>
        <v>350517.46756825811</v>
      </c>
    </row>
    <row r="214" spans="1:12" ht="14.25" customHeight="1" x14ac:dyDescent="0.2">
      <c r="A214" s="15">
        <f t="shared" si="42"/>
        <v>195</v>
      </c>
      <c r="B214" s="16">
        <f t="shared" si="37"/>
        <v>50830</v>
      </c>
      <c r="C214" s="20">
        <f t="shared" si="43"/>
        <v>255909.39098876159</v>
      </c>
      <c r="D214" s="20">
        <f t="shared" si="38"/>
        <v>2375.8148277293635</v>
      </c>
      <c r="E214" s="59">
        <f t="shared" si="44"/>
        <v>0</v>
      </c>
      <c r="F214" s="20">
        <f t="shared" si="39"/>
        <v>2375.8148277293635</v>
      </c>
      <c r="G214" s="20">
        <f t="shared" si="40"/>
        <v>936.32450341757954</v>
      </c>
      <c r="H214" s="20">
        <f t="shared" si="45"/>
        <v>1439.490324311784</v>
      </c>
      <c r="I214" s="20">
        <f t="shared" si="41"/>
        <v>254973.066485344</v>
      </c>
      <c r="J214" s="73"/>
      <c r="K214" s="22">
        <f t="shared" si="46"/>
        <v>111326.93351465608</v>
      </c>
      <c r="L214" s="22">
        <f t="shared" si="47"/>
        <v>351956.95789256989</v>
      </c>
    </row>
    <row r="215" spans="1:12" ht="14.25" customHeight="1" x14ac:dyDescent="0.2">
      <c r="A215" s="15">
        <f t="shared" si="42"/>
        <v>196</v>
      </c>
      <c r="B215" s="16">
        <f t="shared" si="37"/>
        <v>50861</v>
      </c>
      <c r="C215" s="20">
        <f t="shared" si="43"/>
        <v>254973.066485344</v>
      </c>
      <c r="D215" s="20">
        <f t="shared" si="38"/>
        <v>2375.8148277293635</v>
      </c>
      <c r="E215" s="59">
        <f t="shared" si="44"/>
        <v>0</v>
      </c>
      <c r="F215" s="20">
        <f t="shared" si="39"/>
        <v>2375.8148277293635</v>
      </c>
      <c r="G215" s="20">
        <f t="shared" si="40"/>
        <v>941.59132874930356</v>
      </c>
      <c r="H215" s="20">
        <f t="shared" si="45"/>
        <v>1434.22349898006</v>
      </c>
      <c r="I215" s="20">
        <f t="shared" si="41"/>
        <v>254031.47515659468</v>
      </c>
      <c r="J215" s="73"/>
      <c r="K215" s="22">
        <f t="shared" si="46"/>
        <v>112268.52484340538</v>
      </c>
      <c r="L215" s="22">
        <f t="shared" si="47"/>
        <v>353391.18139154994</v>
      </c>
    </row>
    <row r="216" spans="1:12" ht="14.25" customHeight="1" x14ac:dyDescent="0.2">
      <c r="A216" s="15">
        <f t="shared" si="42"/>
        <v>197</v>
      </c>
      <c r="B216" s="16">
        <f t="shared" si="37"/>
        <v>50891</v>
      </c>
      <c r="C216" s="20">
        <f t="shared" si="43"/>
        <v>254031.47515659468</v>
      </c>
      <c r="D216" s="20">
        <f t="shared" si="38"/>
        <v>2375.8148277293635</v>
      </c>
      <c r="E216" s="59">
        <f t="shared" si="44"/>
        <v>0</v>
      </c>
      <c r="F216" s="20">
        <f t="shared" si="39"/>
        <v>2375.8148277293635</v>
      </c>
      <c r="G216" s="20">
        <f t="shared" si="40"/>
        <v>946.88777997351849</v>
      </c>
      <c r="H216" s="20">
        <f t="shared" si="45"/>
        <v>1428.927047755845</v>
      </c>
      <c r="I216" s="20">
        <f t="shared" si="41"/>
        <v>253084.58737662117</v>
      </c>
      <c r="J216" s="73"/>
      <c r="K216" s="22">
        <f t="shared" si="46"/>
        <v>113215.4126233789</v>
      </c>
      <c r="L216" s="22">
        <f t="shared" si="47"/>
        <v>354820.1084393058</v>
      </c>
    </row>
    <row r="217" spans="1:12" ht="14.25" customHeight="1" x14ac:dyDescent="0.2">
      <c r="A217" s="15">
        <f t="shared" si="42"/>
        <v>198</v>
      </c>
      <c r="B217" s="16">
        <f t="shared" si="37"/>
        <v>50922</v>
      </c>
      <c r="C217" s="20">
        <f t="shared" si="43"/>
        <v>253084.58737662117</v>
      </c>
      <c r="D217" s="20">
        <f t="shared" si="38"/>
        <v>2375.8148277293635</v>
      </c>
      <c r="E217" s="59">
        <f t="shared" si="44"/>
        <v>0</v>
      </c>
      <c r="F217" s="20">
        <f t="shared" si="39"/>
        <v>2375.8148277293635</v>
      </c>
      <c r="G217" s="20">
        <f t="shared" si="40"/>
        <v>952.21402373586943</v>
      </c>
      <c r="H217" s="20">
        <f t="shared" si="45"/>
        <v>1423.6008039934941</v>
      </c>
      <c r="I217" s="20">
        <f t="shared" si="41"/>
        <v>252132.3733528853</v>
      </c>
      <c r="J217" s="73"/>
      <c r="K217" s="22">
        <f t="shared" si="46"/>
        <v>114167.62664711477</v>
      </c>
      <c r="L217" s="22">
        <f t="shared" si="47"/>
        <v>356243.70924329926</v>
      </c>
    </row>
    <row r="218" spans="1:12" ht="14.25" customHeight="1" x14ac:dyDescent="0.2">
      <c r="A218" s="15">
        <f t="shared" si="42"/>
        <v>199</v>
      </c>
      <c r="B218" s="16">
        <f t="shared" si="37"/>
        <v>50952</v>
      </c>
      <c r="C218" s="20">
        <f t="shared" si="43"/>
        <v>252132.3733528853</v>
      </c>
      <c r="D218" s="20">
        <f t="shared" si="38"/>
        <v>2375.8148277293635</v>
      </c>
      <c r="E218" s="59">
        <f t="shared" si="44"/>
        <v>0</v>
      </c>
      <c r="F218" s="20">
        <f t="shared" si="39"/>
        <v>2375.8148277293635</v>
      </c>
      <c r="G218" s="20">
        <f t="shared" si="40"/>
        <v>957.57022761938356</v>
      </c>
      <c r="H218" s="20">
        <f t="shared" si="45"/>
        <v>1418.24460010998</v>
      </c>
      <c r="I218" s="20">
        <f t="shared" si="41"/>
        <v>251174.80312526593</v>
      </c>
      <c r="J218" s="73"/>
      <c r="K218" s="22">
        <f t="shared" si="46"/>
        <v>115125.19687473415</v>
      </c>
      <c r="L218" s="22">
        <f t="shared" si="47"/>
        <v>357661.95384340925</v>
      </c>
    </row>
    <row r="219" spans="1:12" ht="14.25" customHeight="1" x14ac:dyDescent="0.2">
      <c r="A219" s="15">
        <f t="shared" si="42"/>
        <v>200</v>
      </c>
      <c r="B219" s="16">
        <f t="shared" si="37"/>
        <v>50983</v>
      </c>
      <c r="C219" s="20">
        <f t="shared" si="43"/>
        <v>251174.80312526593</v>
      </c>
      <c r="D219" s="20">
        <f t="shared" si="38"/>
        <v>2375.8148277293635</v>
      </c>
      <c r="E219" s="59">
        <f t="shared" si="44"/>
        <v>0</v>
      </c>
      <c r="F219" s="20">
        <f t="shared" si="39"/>
        <v>2375.8148277293635</v>
      </c>
      <c r="G219" s="20">
        <f t="shared" si="40"/>
        <v>962.9565601497427</v>
      </c>
      <c r="H219" s="20">
        <f t="shared" si="45"/>
        <v>1412.8582675796208</v>
      </c>
      <c r="I219" s="20">
        <f t="shared" si="41"/>
        <v>250211.8465651162</v>
      </c>
      <c r="J219" s="73"/>
      <c r="K219" s="22">
        <f t="shared" si="46"/>
        <v>116088.15343488389</v>
      </c>
      <c r="L219" s="22">
        <f t="shared" si="47"/>
        <v>359074.81211098889</v>
      </c>
    </row>
    <row r="220" spans="1:12" ht="14.25" customHeight="1" x14ac:dyDescent="0.2">
      <c r="A220" s="15">
        <f t="shared" si="42"/>
        <v>201</v>
      </c>
      <c r="B220" s="16">
        <f t="shared" si="37"/>
        <v>51014</v>
      </c>
      <c r="C220" s="20">
        <f t="shared" si="43"/>
        <v>250211.8465651162</v>
      </c>
      <c r="D220" s="20">
        <f t="shared" si="38"/>
        <v>2375.8148277293635</v>
      </c>
      <c r="E220" s="59">
        <f t="shared" si="44"/>
        <v>0</v>
      </c>
      <c r="F220" s="20">
        <f t="shared" si="39"/>
        <v>2375.8148277293635</v>
      </c>
      <c r="G220" s="20">
        <f t="shared" si="40"/>
        <v>968.37319080058501</v>
      </c>
      <c r="H220" s="20">
        <f t="shared" si="45"/>
        <v>1407.4416369287785</v>
      </c>
      <c r="I220" s="20">
        <f t="shared" si="41"/>
        <v>249243.47337431562</v>
      </c>
      <c r="J220" s="73"/>
      <c r="K220" s="22">
        <f t="shared" si="46"/>
        <v>117056.52662568448</v>
      </c>
      <c r="L220" s="22">
        <f t="shared" si="47"/>
        <v>360482.25374791765</v>
      </c>
    </row>
    <row r="221" spans="1:12" ht="14.25" customHeight="1" x14ac:dyDescent="0.2">
      <c r="A221" s="15">
        <f t="shared" si="42"/>
        <v>202</v>
      </c>
      <c r="B221" s="16">
        <f t="shared" si="37"/>
        <v>51044</v>
      </c>
      <c r="C221" s="20">
        <f t="shared" si="43"/>
        <v>249243.47337431562</v>
      </c>
      <c r="D221" s="20">
        <f t="shared" si="38"/>
        <v>2375.8148277293635</v>
      </c>
      <c r="E221" s="59">
        <f t="shared" si="44"/>
        <v>0</v>
      </c>
      <c r="F221" s="20">
        <f t="shared" si="39"/>
        <v>2375.8148277293635</v>
      </c>
      <c r="G221" s="20">
        <f t="shared" si="40"/>
        <v>973.82028999883801</v>
      </c>
      <c r="H221" s="20">
        <f t="shared" si="45"/>
        <v>1401.9945377305255</v>
      </c>
      <c r="I221" s="20">
        <f t="shared" si="41"/>
        <v>248269.65308431679</v>
      </c>
      <c r="J221" s="73"/>
      <c r="K221" s="22">
        <f t="shared" si="46"/>
        <v>118030.34691568332</v>
      </c>
      <c r="L221" s="22">
        <f t="shared" si="47"/>
        <v>361884.24828564818</v>
      </c>
    </row>
    <row r="222" spans="1:12" ht="14.25" customHeight="1" x14ac:dyDescent="0.2">
      <c r="A222" s="15">
        <f t="shared" si="42"/>
        <v>203</v>
      </c>
      <c r="B222" s="16">
        <f t="shared" si="37"/>
        <v>51075</v>
      </c>
      <c r="C222" s="20">
        <f t="shared" si="43"/>
        <v>248269.65308431679</v>
      </c>
      <c r="D222" s="20">
        <f t="shared" si="38"/>
        <v>2375.8148277293635</v>
      </c>
      <c r="E222" s="59">
        <f t="shared" si="44"/>
        <v>0</v>
      </c>
      <c r="F222" s="20">
        <f t="shared" si="39"/>
        <v>2375.8148277293635</v>
      </c>
      <c r="G222" s="20">
        <f t="shared" si="40"/>
        <v>979.29802913008143</v>
      </c>
      <c r="H222" s="20">
        <f t="shared" si="45"/>
        <v>1396.5167985992821</v>
      </c>
      <c r="I222" s="20">
        <f t="shared" si="41"/>
        <v>247290.35505518669</v>
      </c>
      <c r="J222" s="73"/>
      <c r="K222" s="22">
        <f t="shared" si="46"/>
        <v>119009.64494481339</v>
      </c>
      <c r="L222" s="22">
        <f t="shared" si="47"/>
        <v>363280.76508424745</v>
      </c>
    </row>
    <row r="223" spans="1:12" ht="14.25" customHeight="1" x14ac:dyDescent="0.2">
      <c r="A223" s="15">
        <f t="shared" si="42"/>
        <v>204</v>
      </c>
      <c r="B223" s="16">
        <f t="shared" si="37"/>
        <v>51105</v>
      </c>
      <c r="C223" s="20">
        <f t="shared" si="43"/>
        <v>247290.35505518669</v>
      </c>
      <c r="D223" s="20">
        <f t="shared" si="38"/>
        <v>2375.8148277293635</v>
      </c>
      <c r="E223" s="59">
        <f t="shared" si="44"/>
        <v>0</v>
      </c>
      <c r="F223" s="20">
        <f t="shared" si="39"/>
        <v>2375.8148277293635</v>
      </c>
      <c r="G223" s="20">
        <f t="shared" si="40"/>
        <v>984.80658054393848</v>
      </c>
      <c r="H223" s="20">
        <f t="shared" si="45"/>
        <v>1391.008247185425</v>
      </c>
      <c r="I223" s="20">
        <f t="shared" si="41"/>
        <v>246305.54847464277</v>
      </c>
      <c r="J223" s="73"/>
      <c r="K223" s="22">
        <f t="shared" si="46"/>
        <v>119994.45152535733</v>
      </c>
      <c r="L223" s="22">
        <f t="shared" si="47"/>
        <v>364671.77333143289</v>
      </c>
    </row>
    <row r="224" spans="1:12" ht="14.25" customHeight="1" x14ac:dyDescent="0.2">
      <c r="A224" s="15">
        <f t="shared" si="42"/>
        <v>205</v>
      </c>
      <c r="B224" s="16">
        <f t="shared" si="37"/>
        <v>51136</v>
      </c>
      <c r="C224" s="20">
        <f t="shared" si="43"/>
        <v>246305.54847464277</v>
      </c>
      <c r="D224" s="20">
        <f t="shared" si="38"/>
        <v>2375.8148277293635</v>
      </c>
      <c r="E224" s="59">
        <f t="shared" si="44"/>
        <v>0</v>
      </c>
      <c r="F224" s="20">
        <f t="shared" si="39"/>
        <v>2375.8148277293635</v>
      </c>
      <c r="G224" s="20">
        <f t="shared" si="40"/>
        <v>990.346117559498</v>
      </c>
      <c r="H224" s="20">
        <f t="shared" si="45"/>
        <v>1385.4687101698655</v>
      </c>
      <c r="I224" s="20">
        <f t="shared" si="41"/>
        <v>245315.20235708327</v>
      </c>
      <c r="J224" s="73"/>
      <c r="K224" s="22">
        <f t="shared" si="46"/>
        <v>120984.79764291683</v>
      </c>
      <c r="L224" s="22">
        <f t="shared" si="47"/>
        <v>366057.24204160273</v>
      </c>
    </row>
    <row r="225" spans="1:12" ht="14.25" customHeight="1" x14ac:dyDescent="0.2">
      <c r="A225" s="15">
        <f t="shared" si="42"/>
        <v>206</v>
      </c>
      <c r="B225" s="16">
        <f t="shared" si="37"/>
        <v>51167</v>
      </c>
      <c r="C225" s="20">
        <f t="shared" si="43"/>
        <v>245315.20235708327</v>
      </c>
      <c r="D225" s="20">
        <f t="shared" si="38"/>
        <v>2375.8148277293635</v>
      </c>
      <c r="E225" s="59">
        <f t="shared" si="44"/>
        <v>0</v>
      </c>
      <c r="F225" s="20">
        <f t="shared" si="39"/>
        <v>2375.8148277293635</v>
      </c>
      <c r="G225" s="20">
        <f t="shared" si="40"/>
        <v>995.91681447076985</v>
      </c>
      <c r="H225" s="20">
        <f t="shared" si="45"/>
        <v>1379.8980132585937</v>
      </c>
      <c r="I225" s="20">
        <f t="shared" si="41"/>
        <v>244319.28554261249</v>
      </c>
      <c r="J225" s="73"/>
      <c r="K225" s="22">
        <f t="shared" si="46"/>
        <v>121980.7144573876</v>
      </c>
      <c r="L225" s="22">
        <f t="shared" si="47"/>
        <v>367437.14005486132</v>
      </c>
    </row>
    <row r="226" spans="1:12" ht="14.25" customHeight="1" x14ac:dyDescent="0.2">
      <c r="A226" s="15">
        <f t="shared" si="42"/>
        <v>207</v>
      </c>
      <c r="B226" s="16">
        <f t="shared" si="37"/>
        <v>51196</v>
      </c>
      <c r="C226" s="20">
        <f t="shared" si="43"/>
        <v>244319.28554261249</v>
      </c>
      <c r="D226" s="20">
        <f t="shared" si="38"/>
        <v>2375.8148277293635</v>
      </c>
      <c r="E226" s="59">
        <f t="shared" si="44"/>
        <v>0</v>
      </c>
      <c r="F226" s="20">
        <f t="shared" si="39"/>
        <v>2375.8148277293635</v>
      </c>
      <c r="G226" s="20">
        <f t="shared" si="40"/>
        <v>1001.5188465521683</v>
      </c>
      <c r="H226" s="20">
        <f t="shared" si="45"/>
        <v>1374.2959811771952</v>
      </c>
      <c r="I226" s="20">
        <f t="shared" si="41"/>
        <v>243317.76669606031</v>
      </c>
      <c r="J226" s="73"/>
      <c r="K226" s="22">
        <f t="shared" si="46"/>
        <v>122982.23330393976</v>
      </c>
      <c r="L226" s="22">
        <f t="shared" si="47"/>
        <v>368811.4360360385</v>
      </c>
    </row>
    <row r="227" spans="1:12" ht="14.25" customHeight="1" x14ac:dyDescent="0.2">
      <c r="A227" s="15">
        <f t="shared" si="42"/>
        <v>208</v>
      </c>
      <c r="B227" s="16">
        <f t="shared" si="37"/>
        <v>51227</v>
      </c>
      <c r="C227" s="20">
        <f t="shared" si="43"/>
        <v>243317.76669606031</v>
      </c>
      <c r="D227" s="20">
        <f t="shared" si="38"/>
        <v>2375.8148277293635</v>
      </c>
      <c r="E227" s="59">
        <f t="shared" si="44"/>
        <v>0</v>
      </c>
      <c r="F227" s="20">
        <f t="shared" si="39"/>
        <v>2375.8148277293635</v>
      </c>
      <c r="G227" s="20">
        <f t="shared" si="40"/>
        <v>1007.1523900640243</v>
      </c>
      <c r="H227" s="20">
        <f t="shared" si="45"/>
        <v>1368.6624376653392</v>
      </c>
      <c r="I227" s="20">
        <f t="shared" si="41"/>
        <v>242310.61430599628</v>
      </c>
      <c r="J227" s="73"/>
      <c r="K227" s="22">
        <f t="shared" si="46"/>
        <v>123989.38569400379</v>
      </c>
      <c r="L227" s="22">
        <f t="shared" si="47"/>
        <v>370180.09847370384</v>
      </c>
    </row>
    <row r="228" spans="1:12" ht="14.25" customHeight="1" x14ac:dyDescent="0.2">
      <c r="A228" s="15">
        <f t="shared" si="42"/>
        <v>209</v>
      </c>
      <c r="B228" s="16">
        <f t="shared" si="37"/>
        <v>51257</v>
      </c>
      <c r="C228" s="20">
        <f t="shared" si="43"/>
        <v>242310.61430599628</v>
      </c>
      <c r="D228" s="20">
        <f t="shared" si="38"/>
        <v>2375.8148277293635</v>
      </c>
      <c r="E228" s="59">
        <f t="shared" si="44"/>
        <v>0</v>
      </c>
      <c r="F228" s="20">
        <f t="shared" si="39"/>
        <v>2375.8148277293635</v>
      </c>
      <c r="G228" s="20">
        <f t="shared" si="40"/>
        <v>1012.8176222581344</v>
      </c>
      <c r="H228" s="20">
        <f t="shared" si="45"/>
        <v>1362.9972054712291</v>
      </c>
      <c r="I228" s="20">
        <f t="shared" si="41"/>
        <v>241297.79668373815</v>
      </c>
      <c r="J228" s="73"/>
      <c r="K228" s="22">
        <f t="shared" si="46"/>
        <v>125002.20331626193</v>
      </c>
      <c r="L228" s="22">
        <f t="shared" si="47"/>
        <v>371543.09567917505</v>
      </c>
    </row>
    <row r="229" spans="1:12" ht="14.25" customHeight="1" x14ac:dyDescent="0.2">
      <c r="A229" s="15">
        <f t="shared" si="42"/>
        <v>210</v>
      </c>
      <c r="B229" s="16">
        <f t="shared" si="37"/>
        <v>51288</v>
      </c>
      <c r="C229" s="20">
        <f t="shared" si="43"/>
        <v>241297.79668373815</v>
      </c>
      <c r="D229" s="20">
        <f t="shared" si="38"/>
        <v>2375.8148277293635</v>
      </c>
      <c r="E229" s="59">
        <f t="shared" si="44"/>
        <v>0</v>
      </c>
      <c r="F229" s="20">
        <f t="shared" si="39"/>
        <v>2375.8148277293635</v>
      </c>
      <c r="G229" s="20">
        <f t="shared" si="40"/>
        <v>1018.5147213833363</v>
      </c>
      <c r="H229" s="20">
        <f t="shared" si="45"/>
        <v>1357.3001063460272</v>
      </c>
      <c r="I229" s="20">
        <f t="shared" si="41"/>
        <v>240279.28196235481</v>
      </c>
      <c r="J229" s="73"/>
      <c r="K229" s="22">
        <f t="shared" si="46"/>
        <v>126020.71803764527</v>
      </c>
      <c r="L229" s="22">
        <f t="shared" si="47"/>
        <v>372900.39578552108</v>
      </c>
    </row>
    <row r="230" spans="1:12" ht="14.25" customHeight="1" x14ac:dyDescent="0.2">
      <c r="A230" s="15">
        <f t="shared" si="42"/>
        <v>211</v>
      </c>
      <c r="B230" s="16">
        <f t="shared" si="37"/>
        <v>51318</v>
      </c>
      <c r="C230" s="20">
        <f t="shared" si="43"/>
        <v>240279.28196235481</v>
      </c>
      <c r="D230" s="20">
        <f t="shared" si="38"/>
        <v>2375.8148277293635</v>
      </c>
      <c r="E230" s="59">
        <f t="shared" si="44"/>
        <v>0</v>
      </c>
      <c r="F230" s="20">
        <f t="shared" si="39"/>
        <v>2375.8148277293635</v>
      </c>
      <c r="G230" s="20">
        <f t="shared" si="40"/>
        <v>1024.2438666911175</v>
      </c>
      <c r="H230" s="20">
        <f t="shared" si="45"/>
        <v>1351.570961038246</v>
      </c>
      <c r="I230" s="20">
        <f t="shared" si="41"/>
        <v>239255.03809566371</v>
      </c>
      <c r="J230" s="73"/>
      <c r="K230" s="22">
        <f t="shared" si="46"/>
        <v>127044.96190433639</v>
      </c>
      <c r="L230" s="22">
        <f t="shared" si="47"/>
        <v>374251.96674655931</v>
      </c>
    </row>
    <row r="231" spans="1:12" ht="14.25" customHeight="1" x14ac:dyDescent="0.2">
      <c r="A231" s="15">
        <f t="shared" si="42"/>
        <v>212</v>
      </c>
      <c r="B231" s="16">
        <f t="shared" si="37"/>
        <v>51349</v>
      </c>
      <c r="C231" s="20">
        <f t="shared" si="43"/>
        <v>239255.03809566371</v>
      </c>
      <c r="D231" s="20">
        <f t="shared" si="38"/>
        <v>2375.8148277293635</v>
      </c>
      <c r="E231" s="59">
        <f t="shared" si="44"/>
        <v>0</v>
      </c>
      <c r="F231" s="20">
        <f t="shared" si="39"/>
        <v>2375.8148277293635</v>
      </c>
      <c r="G231" s="20">
        <f t="shared" si="40"/>
        <v>1030.005238441255</v>
      </c>
      <c r="H231" s="20">
        <f t="shared" si="45"/>
        <v>1345.8095892881086</v>
      </c>
      <c r="I231" s="20">
        <f t="shared" si="41"/>
        <v>238225.03285722245</v>
      </c>
      <c r="J231" s="73"/>
      <c r="K231" s="22">
        <f t="shared" si="46"/>
        <v>128074.96714277765</v>
      </c>
      <c r="L231" s="22">
        <f t="shared" si="47"/>
        <v>375597.77633584739</v>
      </c>
    </row>
    <row r="232" spans="1:12" ht="14.25" customHeight="1" x14ac:dyDescent="0.2">
      <c r="A232" s="15">
        <f t="shared" si="42"/>
        <v>213</v>
      </c>
      <c r="B232" s="16">
        <f t="shared" si="37"/>
        <v>51380</v>
      </c>
      <c r="C232" s="20">
        <f t="shared" si="43"/>
        <v>238225.03285722245</v>
      </c>
      <c r="D232" s="20">
        <f t="shared" si="38"/>
        <v>2375.8148277293635</v>
      </c>
      <c r="E232" s="59">
        <f t="shared" si="44"/>
        <v>0</v>
      </c>
      <c r="F232" s="20">
        <f t="shared" si="39"/>
        <v>2375.8148277293635</v>
      </c>
      <c r="G232" s="20">
        <f t="shared" si="40"/>
        <v>1035.799017907487</v>
      </c>
      <c r="H232" s="20">
        <f t="shared" si="45"/>
        <v>1340.0158098218765</v>
      </c>
      <c r="I232" s="20">
        <f t="shared" si="41"/>
        <v>237189.23383931495</v>
      </c>
      <c r="J232" s="73"/>
      <c r="K232" s="22">
        <f t="shared" si="46"/>
        <v>129110.76616068513</v>
      </c>
      <c r="L232" s="22">
        <f t="shared" si="47"/>
        <v>376937.79214566929</v>
      </c>
    </row>
    <row r="233" spans="1:12" ht="14.25" customHeight="1" x14ac:dyDescent="0.2">
      <c r="A233" s="15">
        <f t="shared" si="42"/>
        <v>214</v>
      </c>
      <c r="B233" s="16">
        <f t="shared" si="37"/>
        <v>51410</v>
      </c>
      <c r="C233" s="20">
        <f t="shared" si="43"/>
        <v>237189.23383931495</v>
      </c>
      <c r="D233" s="20">
        <f t="shared" si="38"/>
        <v>2375.8148277293635</v>
      </c>
      <c r="E233" s="59">
        <f t="shared" si="44"/>
        <v>0</v>
      </c>
      <c r="F233" s="20">
        <f t="shared" si="39"/>
        <v>2375.8148277293635</v>
      </c>
      <c r="G233" s="20">
        <f t="shared" si="40"/>
        <v>1041.6253873832168</v>
      </c>
      <c r="H233" s="20">
        <f t="shared" si="45"/>
        <v>1334.1894403461467</v>
      </c>
      <c r="I233" s="20">
        <f t="shared" si="41"/>
        <v>236147.60845193174</v>
      </c>
      <c r="J233" s="73"/>
      <c r="K233" s="22">
        <f t="shared" si="46"/>
        <v>130152.39154806835</v>
      </c>
      <c r="L233" s="22">
        <f t="shared" si="47"/>
        <v>378271.98158601543</v>
      </c>
    </row>
    <row r="234" spans="1:12" ht="14.25" customHeight="1" x14ac:dyDescent="0.2">
      <c r="A234" s="15">
        <f t="shared" si="42"/>
        <v>215</v>
      </c>
      <c r="B234" s="16">
        <f t="shared" si="37"/>
        <v>51441</v>
      </c>
      <c r="C234" s="20">
        <f t="shared" si="43"/>
        <v>236147.60845193174</v>
      </c>
      <c r="D234" s="20">
        <f t="shared" si="38"/>
        <v>2375.8148277293635</v>
      </c>
      <c r="E234" s="59">
        <f t="shared" si="44"/>
        <v>0</v>
      </c>
      <c r="F234" s="20">
        <f t="shared" si="39"/>
        <v>2375.8148277293635</v>
      </c>
      <c r="G234" s="20">
        <f t="shared" si="40"/>
        <v>1047.4845301872474</v>
      </c>
      <c r="H234" s="20">
        <f t="shared" si="45"/>
        <v>1328.3302975421161</v>
      </c>
      <c r="I234" s="20">
        <f t="shared" si="41"/>
        <v>235100.1239217445</v>
      </c>
      <c r="J234" s="73"/>
      <c r="K234" s="22">
        <f t="shared" si="46"/>
        <v>131199.87607825559</v>
      </c>
      <c r="L234" s="22">
        <f t="shared" si="47"/>
        <v>379600.31188355753</v>
      </c>
    </row>
    <row r="235" spans="1:12" ht="14.25" customHeight="1" x14ac:dyDescent="0.2">
      <c r="A235" s="15">
        <f t="shared" si="42"/>
        <v>216</v>
      </c>
      <c r="B235" s="16">
        <f t="shared" si="37"/>
        <v>51471</v>
      </c>
      <c r="C235" s="20">
        <f t="shared" si="43"/>
        <v>235100.1239217445</v>
      </c>
      <c r="D235" s="20">
        <f t="shared" si="38"/>
        <v>2375.8148277293635</v>
      </c>
      <c r="E235" s="59">
        <f t="shared" si="44"/>
        <v>0</v>
      </c>
      <c r="F235" s="20">
        <f t="shared" si="39"/>
        <v>2375.8148277293635</v>
      </c>
      <c r="G235" s="20">
        <f t="shared" si="40"/>
        <v>1053.3766306695507</v>
      </c>
      <c r="H235" s="20">
        <f t="shared" si="45"/>
        <v>1322.4381970598129</v>
      </c>
      <c r="I235" s="20">
        <f t="shared" si="41"/>
        <v>234046.74729107495</v>
      </c>
      <c r="J235" s="73"/>
      <c r="K235" s="22">
        <f t="shared" si="46"/>
        <v>132253.25270892514</v>
      </c>
      <c r="L235" s="22">
        <f t="shared" si="47"/>
        <v>380922.75008061732</v>
      </c>
    </row>
    <row r="236" spans="1:12" ht="14.25" customHeight="1" x14ac:dyDescent="0.2">
      <c r="A236" s="15">
        <f t="shared" si="42"/>
        <v>217</v>
      </c>
      <c r="B236" s="16">
        <f t="shared" si="37"/>
        <v>51502</v>
      </c>
      <c r="C236" s="20">
        <f t="shared" si="43"/>
        <v>234046.74729107495</v>
      </c>
      <c r="D236" s="20">
        <f t="shared" si="38"/>
        <v>2375.8148277293635</v>
      </c>
      <c r="E236" s="59">
        <f t="shared" si="44"/>
        <v>0</v>
      </c>
      <c r="F236" s="20">
        <f t="shared" si="39"/>
        <v>2375.8148277293635</v>
      </c>
      <c r="G236" s="20">
        <f t="shared" si="40"/>
        <v>1059.3018742170668</v>
      </c>
      <c r="H236" s="20">
        <f t="shared" si="45"/>
        <v>1316.5129535122967</v>
      </c>
      <c r="I236" s="20">
        <f t="shared" si="41"/>
        <v>232987.4454168579</v>
      </c>
      <c r="J236" s="73"/>
      <c r="K236" s="22">
        <f t="shared" si="46"/>
        <v>133312.55458314219</v>
      </c>
      <c r="L236" s="22">
        <f t="shared" si="47"/>
        <v>382239.26303412963</v>
      </c>
    </row>
    <row r="237" spans="1:12" ht="14.25" customHeight="1" x14ac:dyDescent="0.2">
      <c r="A237" s="15">
        <f t="shared" si="42"/>
        <v>218</v>
      </c>
      <c r="B237" s="16">
        <f t="shared" si="37"/>
        <v>51533</v>
      </c>
      <c r="C237" s="20">
        <f t="shared" si="43"/>
        <v>232987.4454168579</v>
      </c>
      <c r="D237" s="20">
        <f t="shared" si="38"/>
        <v>2375.8148277293635</v>
      </c>
      <c r="E237" s="59">
        <f t="shared" si="44"/>
        <v>0</v>
      </c>
      <c r="F237" s="20">
        <f t="shared" si="39"/>
        <v>2375.8148277293635</v>
      </c>
      <c r="G237" s="20">
        <f t="shared" si="40"/>
        <v>1065.2604472595378</v>
      </c>
      <c r="H237" s="20">
        <f t="shared" si="45"/>
        <v>1310.5543804698257</v>
      </c>
      <c r="I237" s="20">
        <f t="shared" si="41"/>
        <v>231922.18496959837</v>
      </c>
      <c r="J237" s="73"/>
      <c r="K237" s="22">
        <f t="shared" si="46"/>
        <v>134377.81503040172</v>
      </c>
      <c r="L237" s="22">
        <f t="shared" si="47"/>
        <v>383549.81741459947</v>
      </c>
    </row>
    <row r="238" spans="1:12" ht="14.25" customHeight="1" x14ac:dyDescent="0.2">
      <c r="A238" s="15">
        <f t="shared" si="42"/>
        <v>219</v>
      </c>
      <c r="B238" s="16">
        <f t="shared" si="37"/>
        <v>51561</v>
      </c>
      <c r="C238" s="20">
        <f t="shared" si="43"/>
        <v>231922.18496959837</v>
      </c>
      <c r="D238" s="20">
        <f t="shared" si="38"/>
        <v>2375.8148277293635</v>
      </c>
      <c r="E238" s="59">
        <f t="shared" si="44"/>
        <v>0</v>
      </c>
      <c r="F238" s="20">
        <f t="shared" si="39"/>
        <v>2375.8148277293635</v>
      </c>
      <c r="G238" s="20">
        <f t="shared" si="40"/>
        <v>1071.2525372753726</v>
      </c>
      <c r="H238" s="20">
        <f t="shared" si="45"/>
        <v>1304.562290453991</v>
      </c>
      <c r="I238" s="20">
        <f t="shared" si="41"/>
        <v>230850.932432323</v>
      </c>
      <c r="J238" s="73"/>
      <c r="K238" s="22">
        <f t="shared" si="46"/>
        <v>135449.06756767709</v>
      </c>
      <c r="L238" s="22">
        <f t="shared" si="47"/>
        <v>384854.37970505346</v>
      </c>
    </row>
    <row r="239" spans="1:12" ht="14.25" customHeight="1" x14ac:dyDescent="0.2">
      <c r="A239" s="15">
        <f t="shared" si="42"/>
        <v>220</v>
      </c>
      <c r="B239" s="16">
        <f t="shared" si="37"/>
        <v>51592</v>
      </c>
      <c r="C239" s="20">
        <f t="shared" si="43"/>
        <v>230850.932432323</v>
      </c>
      <c r="D239" s="20">
        <f t="shared" si="38"/>
        <v>2375.8148277293635</v>
      </c>
      <c r="E239" s="59">
        <f t="shared" si="44"/>
        <v>0</v>
      </c>
      <c r="F239" s="20">
        <f t="shared" si="39"/>
        <v>2375.8148277293635</v>
      </c>
      <c r="G239" s="20">
        <f t="shared" si="40"/>
        <v>1077.2783327975465</v>
      </c>
      <c r="H239" s="20">
        <f t="shared" si="45"/>
        <v>1298.5364949318171</v>
      </c>
      <c r="I239" s="20">
        <f t="shared" si="41"/>
        <v>229773.65409952545</v>
      </c>
      <c r="J239" s="73"/>
      <c r="K239" s="22">
        <f t="shared" si="46"/>
        <v>136526.34590047464</v>
      </c>
      <c r="L239" s="22">
        <f t="shared" si="47"/>
        <v>386152.91619998525</v>
      </c>
    </row>
    <row r="240" spans="1:12" ht="14.25" customHeight="1" x14ac:dyDescent="0.2">
      <c r="A240" s="15">
        <f t="shared" si="42"/>
        <v>221</v>
      </c>
      <c r="B240" s="16">
        <f t="shared" si="37"/>
        <v>51622</v>
      </c>
      <c r="C240" s="20">
        <f t="shared" si="43"/>
        <v>229773.65409952545</v>
      </c>
      <c r="D240" s="20">
        <f t="shared" si="38"/>
        <v>2375.8148277293635</v>
      </c>
      <c r="E240" s="59">
        <f t="shared" si="44"/>
        <v>0</v>
      </c>
      <c r="F240" s="20">
        <f t="shared" si="39"/>
        <v>2375.8148277293635</v>
      </c>
      <c r="G240" s="20">
        <f t="shared" si="40"/>
        <v>1083.3380234195326</v>
      </c>
      <c r="H240" s="20">
        <f t="shared" si="45"/>
        <v>1292.4768043098309</v>
      </c>
      <c r="I240" s="20">
        <f t="shared" si="41"/>
        <v>228690.31607610593</v>
      </c>
      <c r="J240" s="73"/>
      <c r="K240" s="22">
        <f t="shared" si="46"/>
        <v>137609.68392389416</v>
      </c>
      <c r="L240" s="22">
        <f t="shared" si="47"/>
        <v>387445.39300429507</v>
      </c>
    </row>
    <row r="241" spans="1:12" ht="14.25" customHeight="1" x14ac:dyDescent="0.2">
      <c r="A241" s="15">
        <f t="shared" si="42"/>
        <v>222</v>
      </c>
      <c r="B241" s="16">
        <f t="shared" si="37"/>
        <v>51653</v>
      </c>
      <c r="C241" s="20">
        <f t="shared" si="43"/>
        <v>228690.31607610593</v>
      </c>
      <c r="D241" s="20">
        <f t="shared" si="38"/>
        <v>2375.8148277293635</v>
      </c>
      <c r="E241" s="59">
        <f t="shared" si="44"/>
        <v>0</v>
      </c>
      <c r="F241" s="20">
        <f t="shared" si="39"/>
        <v>2375.8148277293635</v>
      </c>
      <c r="G241" s="20">
        <f t="shared" si="40"/>
        <v>1089.4317998012677</v>
      </c>
      <c r="H241" s="20">
        <f t="shared" si="45"/>
        <v>1286.3830279280958</v>
      </c>
      <c r="I241" s="20">
        <f t="shared" si="41"/>
        <v>227600.88427630466</v>
      </c>
      <c r="J241" s="73"/>
      <c r="K241" s="22">
        <f t="shared" si="46"/>
        <v>138699.11572369543</v>
      </c>
      <c r="L241" s="22">
        <f t="shared" si="47"/>
        <v>388731.77603222319</v>
      </c>
    </row>
    <row r="242" spans="1:12" ht="14.25" customHeight="1" x14ac:dyDescent="0.2">
      <c r="A242" s="15">
        <f t="shared" si="42"/>
        <v>223</v>
      </c>
      <c r="B242" s="16">
        <f t="shared" si="37"/>
        <v>51683</v>
      </c>
      <c r="C242" s="20">
        <f t="shared" si="43"/>
        <v>227600.88427630466</v>
      </c>
      <c r="D242" s="20">
        <f t="shared" si="38"/>
        <v>2375.8148277293635</v>
      </c>
      <c r="E242" s="59">
        <f t="shared" si="44"/>
        <v>0</v>
      </c>
      <c r="F242" s="20">
        <f t="shared" si="39"/>
        <v>2375.8148277293635</v>
      </c>
      <c r="G242" s="20">
        <f t="shared" si="40"/>
        <v>1095.5598536751497</v>
      </c>
      <c r="H242" s="20">
        <f t="shared" si="45"/>
        <v>1280.2549740542138</v>
      </c>
      <c r="I242" s="20">
        <f t="shared" si="41"/>
        <v>226505.32442262949</v>
      </c>
      <c r="J242" s="73"/>
      <c r="K242" s="22">
        <f t="shared" si="46"/>
        <v>139794.6755773706</v>
      </c>
      <c r="L242" s="22">
        <f t="shared" si="47"/>
        <v>390012.03100627742</v>
      </c>
    </row>
    <row r="243" spans="1:12" ht="14.25" customHeight="1" x14ac:dyDescent="0.2">
      <c r="A243" s="15">
        <f t="shared" si="42"/>
        <v>224</v>
      </c>
      <c r="B243" s="16">
        <f t="shared" si="37"/>
        <v>51714</v>
      </c>
      <c r="C243" s="20">
        <f t="shared" si="43"/>
        <v>226505.32442262949</v>
      </c>
      <c r="D243" s="20">
        <f t="shared" si="38"/>
        <v>2375.8148277293635</v>
      </c>
      <c r="E243" s="59">
        <f t="shared" si="44"/>
        <v>0</v>
      </c>
      <c r="F243" s="20">
        <f t="shared" si="39"/>
        <v>2375.8148277293635</v>
      </c>
      <c r="G243" s="20">
        <f t="shared" si="40"/>
        <v>1101.7223778520727</v>
      </c>
      <c r="H243" s="20">
        <f t="shared" si="45"/>
        <v>1274.0924498772908</v>
      </c>
      <c r="I243" s="20">
        <f t="shared" si="41"/>
        <v>225403.60204477742</v>
      </c>
      <c r="J243" s="73"/>
      <c r="K243" s="22">
        <f t="shared" si="46"/>
        <v>140896.39795522267</v>
      </c>
      <c r="L243" s="22">
        <f t="shared" si="47"/>
        <v>391286.12345615472</v>
      </c>
    </row>
    <row r="244" spans="1:12" ht="14.25" customHeight="1" x14ac:dyDescent="0.2">
      <c r="A244" s="15">
        <f t="shared" si="42"/>
        <v>225</v>
      </c>
      <c r="B244" s="16">
        <f t="shared" si="37"/>
        <v>51745</v>
      </c>
      <c r="C244" s="20">
        <f t="shared" si="43"/>
        <v>225403.60204477742</v>
      </c>
      <c r="D244" s="20">
        <f t="shared" si="38"/>
        <v>2375.8148277293635</v>
      </c>
      <c r="E244" s="59">
        <f t="shared" si="44"/>
        <v>0</v>
      </c>
      <c r="F244" s="20">
        <f t="shared" si="39"/>
        <v>2375.8148277293635</v>
      </c>
      <c r="G244" s="20">
        <f t="shared" si="40"/>
        <v>1107.9195662274903</v>
      </c>
      <c r="H244" s="20">
        <f t="shared" si="45"/>
        <v>1267.8952615018732</v>
      </c>
      <c r="I244" s="20">
        <f t="shared" si="41"/>
        <v>224295.68247854992</v>
      </c>
      <c r="J244" s="73"/>
      <c r="K244" s="22">
        <f t="shared" si="46"/>
        <v>142004.31752145017</v>
      </c>
      <c r="L244" s="22">
        <f t="shared" si="47"/>
        <v>392554.01871765661</v>
      </c>
    </row>
    <row r="245" spans="1:12" ht="14.25" customHeight="1" x14ac:dyDescent="0.2">
      <c r="A245" s="15">
        <f t="shared" si="42"/>
        <v>226</v>
      </c>
      <c r="B245" s="16">
        <f t="shared" si="37"/>
        <v>51775</v>
      </c>
      <c r="C245" s="20">
        <f t="shared" si="43"/>
        <v>224295.68247854992</v>
      </c>
      <c r="D245" s="20">
        <f t="shared" si="38"/>
        <v>2375.8148277293635</v>
      </c>
      <c r="E245" s="59">
        <f t="shared" si="44"/>
        <v>0</v>
      </c>
      <c r="F245" s="20">
        <f t="shared" si="39"/>
        <v>2375.8148277293635</v>
      </c>
      <c r="G245" s="20">
        <f t="shared" si="40"/>
        <v>1114.1516137875201</v>
      </c>
      <c r="H245" s="20">
        <f t="shared" si="45"/>
        <v>1261.6632139418434</v>
      </c>
      <c r="I245" s="20">
        <f t="shared" si="41"/>
        <v>223181.5308647624</v>
      </c>
      <c r="J245" s="73"/>
      <c r="K245" s="22">
        <f t="shared" si="46"/>
        <v>143118.46913523768</v>
      </c>
      <c r="L245" s="22">
        <f t="shared" si="47"/>
        <v>393815.68193159846</v>
      </c>
    </row>
    <row r="246" spans="1:12" ht="14.25" customHeight="1" x14ac:dyDescent="0.2">
      <c r="A246" s="15">
        <f t="shared" si="42"/>
        <v>227</v>
      </c>
      <c r="B246" s="16">
        <f t="shared" si="37"/>
        <v>51806</v>
      </c>
      <c r="C246" s="20">
        <f t="shared" si="43"/>
        <v>223181.5308647624</v>
      </c>
      <c r="D246" s="20">
        <f t="shared" si="38"/>
        <v>2375.8148277293635</v>
      </c>
      <c r="E246" s="59">
        <f t="shared" si="44"/>
        <v>0</v>
      </c>
      <c r="F246" s="20">
        <f t="shared" si="39"/>
        <v>2375.8148277293635</v>
      </c>
      <c r="G246" s="20">
        <f t="shared" si="40"/>
        <v>1120.4187166150748</v>
      </c>
      <c r="H246" s="20">
        <f t="shared" si="45"/>
        <v>1255.3961111142887</v>
      </c>
      <c r="I246" s="20">
        <f t="shared" si="41"/>
        <v>222061.11214814734</v>
      </c>
      <c r="J246" s="73"/>
      <c r="K246" s="22">
        <f t="shared" si="46"/>
        <v>144238.88785185275</v>
      </c>
      <c r="L246" s="22">
        <f t="shared" si="47"/>
        <v>395071.07804271276</v>
      </c>
    </row>
    <row r="247" spans="1:12" ht="14.25" customHeight="1" x14ac:dyDescent="0.2">
      <c r="A247" s="15">
        <f t="shared" si="42"/>
        <v>228</v>
      </c>
      <c r="B247" s="16">
        <f t="shared" si="37"/>
        <v>51836</v>
      </c>
      <c r="C247" s="20">
        <f t="shared" si="43"/>
        <v>222061.11214814734</v>
      </c>
      <c r="D247" s="20">
        <f t="shared" si="38"/>
        <v>2375.8148277293635</v>
      </c>
      <c r="E247" s="59">
        <f t="shared" si="44"/>
        <v>0</v>
      </c>
      <c r="F247" s="20">
        <f t="shared" si="39"/>
        <v>2375.8148277293635</v>
      </c>
      <c r="G247" s="20">
        <f t="shared" si="40"/>
        <v>1126.7210718960348</v>
      </c>
      <c r="H247" s="20">
        <f t="shared" si="45"/>
        <v>1249.0937558333287</v>
      </c>
      <c r="I247" s="20">
        <f t="shared" si="41"/>
        <v>220934.39107625131</v>
      </c>
      <c r="J247" s="73"/>
      <c r="K247" s="22">
        <f t="shared" si="46"/>
        <v>145365.60892374878</v>
      </c>
      <c r="L247" s="22">
        <f t="shared" si="47"/>
        <v>396320.1717985461</v>
      </c>
    </row>
    <row r="248" spans="1:12" ht="14.25" customHeight="1" x14ac:dyDescent="0.2">
      <c r="A248" s="15">
        <f t="shared" si="42"/>
        <v>229</v>
      </c>
      <c r="B248" s="16">
        <f t="shared" si="37"/>
        <v>51867</v>
      </c>
      <c r="C248" s="20">
        <f t="shared" si="43"/>
        <v>220934.39107625131</v>
      </c>
      <c r="D248" s="20">
        <f t="shared" si="38"/>
        <v>2375.8148277293635</v>
      </c>
      <c r="E248" s="59">
        <f t="shared" si="44"/>
        <v>0</v>
      </c>
      <c r="F248" s="20">
        <f t="shared" si="39"/>
        <v>2375.8148277293635</v>
      </c>
      <c r="G248" s="20">
        <f t="shared" si="40"/>
        <v>1133.0588779254497</v>
      </c>
      <c r="H248" s="20">
        <f t="shared" si="45"/>
        <v>1242.7559498039138</v>
      </c>
      <c r="I248" s="20">
        <f t="shared" si="41"/>
        <v>219801.33219832586</v>
      </c>
      <c r="J248" s="73"/>
      <c r="K248" s="22">
        <f t="shared" si="46"/>
        <v>146498.66780167422</v>
      </c>
      <c r="L248" s="22">
        <f t="shared" si="47"/>
        <v>397562.92774835002</v>
      </c>
    </row>
    <row r="249" spans="1:12" ht="14.25" customHeight="1" x14ac:dyDescent="0.2">
      <c r="A249" s="15">
        <f t="shared" si="42"/>
        <v>230</v>
      </c>
      <c r="B249" s="16">
        <f t="shared" si="37"/>
        <v>51898</v>
      </c>
      <c r="C249" s="20">
        <f t="shared" si="43"/>
        <v>219801.33219832586</v>
      </c>
      <c r="D249" s="20">
        <f t="shared" si="38"/>
        <v>2375.8148277293635</v>
      </c>
      <c r="E249" s="59">
        <f t="shared" si="44"/>
        <v>0</v>
      </c>
      <c r="F249" s="20">
        <f t="shared" si="39"/>
        <v>2375.8148277293635</v>
      </c>
      <c r="G249" s="20">
        <f t="shared" si="40"/>
        <v>1139.4323341137804</v>
      </c>
      <c r="H249" s="20">
        <f t="shared" si="45"/>
        <v>1236.3824936155831</v>
      </c>
      <c r="I249" s="20">
        <f t="shared" si="41"/>
        <v>218661.89986421209</v>
      </c>
      <c r="J249" s="73"/>
      <c r="K249" s="22">
        <f t="shared" si="46"/>
        <v>147638.100135788</v>
      </c>
      <c r="L249" s="22">
        <f t="shared" si="47"/>
        <v>398799.31024196558</v>
      </c>
    </row>
    <row r="250" spans="1:12" ht="14.25" customHeight="1" x14ac:dyDescent="0.2">
      <c r="A250" s="15">
        <f t="shared" si="42"/>
        <v>231</v>
      </c>
      <c r="B250" s="16">
        <f t="shared" si="37"/>
        <v>51926</v>
      </c>
      <c r="C250" s="20">
        <f t="shared" si="43"/>
        <v>218661.89986421209</v>
      </c>
      <c r="D250" s="20">
        <f t="shared" si="38"/>
        <v>2375.8148277293635</v>
      </c>
      <c r="E250" s="59">
        <f t="shared" si="44"/>
        <v>0</v>
      </c>
      <c r="F250" s="20">
        <f t="shared" si="39"/>
        <v>2375.8148277293635</v>
      </c>
      <c r="G250" s="20">
        <f t="shared" si="40"/>
        <v>1145.8416409931704</v>
      </c>
      <c r="H250" s="20">
        <f t="shared" si="45"/>
        <v>1229.9731867361932</v>
      </c>
      <c r="I250" s="20">
        <f t="shared" si="41"/>
        <v>217516.05822321892</v>
      </c>
      <c r="J250" s="73"/>
      <c r="K250" s="22">
        <f t="shared" si="46"/>
        <v>148783.94177678117</v>
      </c>
      <c r="L250" s="22">
        <f t="shared" si="47"/>
        <v>400029.28342870175</v>
      </c>
    </row>
    <row r="251" spans="1:12" ht="14.25" customHeight="1" x14ac:dyDescent="0.2">
      <c r="A251" s="15">
        <f t="shared" si="42"/>
        <v>232</v>
      </c>
      <c r="B251" s="16">
        <f t="shared" si="37"/>
        <v>51957</v>
      </c>
      <c r="C251" s="20">
        <f t="shared" si="43"/>
        <v>217516.05822321892</v>
      </c>
      <c r="D251" s="20">
        <f t="shared" si="38"/>
        <v>2375.8148277293635</v>
      </c>
      <c r="E251" s="59">
        <f t="shared" si="44"/>
        <v>0</v>
      </c>
      <c r="F251" s="20">
        <f t="shared" si="39"/>
        <v>2375.8148277293635</v>
      </c>
      <c r="G251" s="20">
        <f t="shared" si="40"/>
        <v>1152.2870002237571</v>
      </c>
      <c r="H251" s="20">
        <f t="shared" si="45"/>
        <v>1223.5278275056064</v>
      </c>
      <c r="I251" s="20">
        <f t="shared" si="41"/>
        <v>216363.77122299516</v>
      </c>
      <c r="J251" s="73"/>
      <c r="K251" s="22">
        <f t="shared" si="46"/>
        <v>149936.22877700493</v>
      </c>
      <c r="L251" s="22">
        <f t="shared" si="47"/>
        <v>401252.81125620735</v>
      </c>
    </row>
    <row r="252" spans="1:12" ht="14.25" customHeight="1" x14ac:dyDescent="0.2">
      <c r="A252" s="15">
        <f t="shared" si="42"/>
        <v>233</v>
      </c>
      <c r="B252" s="16">
        <f t="shared" si="37"/>
        <v>51987</v>
      </c>
      <c r="C252" s="20">
        <f t="shared" si="43"/>
        <v>216363.77122299516</v>
      </c>
      <c r="D252" s="20">
        <f t="shared" si="38"/>
        <v>2375.8148277293635</v>
      </c>
      <c r="E252" s="59">
        <f t="shared" si="44"/>
        <v>0</v>
      </c>
      <c r="F252" s="20">
        <f t="shared" si="39"/>
        <v>2375.8148277293635</v>
      </c>
      <c r="G252" s="20">
        <f t="shared" si="40"/>
        <v>1158.7686146000158</v>
      </c>
      <c r="H252" s="20">
        <f t="shared" si="45"/>
        <v>1217.0462131293477</v>
      </c>
      <c r="I252" s="20">
        <f t="shared" si="41"/>
        <v>215205.00260839515</v>
      </c>
      <c r="J252" s="73"/>
      <c r="K252" s="22">
        <f t="shared" si="46"/>
        <v>151094.99739160493</v>
      </c>
      <c r="L252" s="22">
        <f t="shared" si="47"/>
        <v>402469.85746933671</v>
      </c>
    </row>
    <row r="253" spans="1:12" ht="14.25" customHeight="1" x14ac:dyDescent="0.2">
      <c r="A253" s="15">
        <f t="shared" si="42"/>
        <v>234</v>
      </c>
      <c r="B253" s="16">
        <f t="shared" si="37"/>
        <v>52018</v>
      </c>
      <c r="C253" s="20">
        <f t="shared" si="43"/>
        <v>215205.00260839515</v>
      </c>
      <c r="D253" s="20">
        <f t="shared" si="38"/>
        <v>2375.8148277293635</v>
      </c>
      <c r="E253" s="59">
        <f t="shared" si="44"/>
        <v>0</v>
      </c>
      <c r="F253" s="20">
        <f t="shared" si="39"/>
        <v>2375.8148277293635</v>
      </c>
      <c r="G253" s="20">
        <f t="shared" si="40"/>
        <v>1165.2866880571407</v>
      </c>
      <c r="H253" s="20">
        <f t="shared" si="45"/>
        <v>1210.5281396722228</v>
      </c>
      <c r="I253" s="20">
        <f t="shared" si="41"/>
        <v>214039.715920338</v>
      </c>
      <c r="J253" s="73"/>
      <c r="K253" s="22">
        <f t="shared" si="46"/>
        <v>152260.28407966209</v>
      </c>
      <c r="L253" s="22">
        <f t="shared" si="47"/>
        <v>403680.38560900895</v>
      </c>
    </row>
    <row r="254" spans="1:12" ht="14.25" customHeight="1" x14ac:dyDescent="0.2">
      <c r="A254" s="15">
        <f t="shared" si="42"/>
        <v>235</v>
      </c>
      <c r="B254" s="16">
        <f t="shared" si="37"/>
        <v>52048</v>
      </c>
      <c r="C254" s="20">
        <f t="shared" si="43"/>
        <v>214039.715920338</v>
      </c>
      <c r="D254" s="20">
        <f t="shared" si="38"/>
        <v>2375.8148277293635</v>
      </c>
      <c r="E254" s="59">
        <f t="shared" si="44"/>
        <v>0</v>
      </c>
      <c r="F254" s="20">
        <f t="shared" si="39"/>
        <v>2375.8148277293635</v>
      </c>
      <c r="G254" s="20">
        <f t="shared" si="40"/>
        <v>1171.8414256774622</v>
      </c>
      <c r="H254" s="20">
        <f t="shared" si="45"/>
        <v>1203.9734020519013</v>
      </c>
      <c r="I254" s="20">
        <f t="shared" si="41"/>
        <v>212867.87449466053</v>
      </c>
      <c r="J254" s="73"/>
      <c r="K254" s="22">
        <f t="shared" si="46"/>
        <v>153432.12550533956</v>
      </c>
      <c r="L254" s="22">
        <f t="shared" si="47"/>
        <v>404884.35901106085</v>
      </c>
    </row>
    <row r="255" spans="1:12" ht="14.25" customHeight="1" x14ac:dyDescent="0.2">
      <c r="A255" s="15">
        <f t="shared" si="42"/>
        <v>236</v>
      </c>
      <c r="B255" s="16">
        <f t="shared" si="37"/>
        <v>52079</v>
      </c>
      <c r="C255" s="20">
        <f t="shared" si="43"/>
        <v>212867.87449466053</v>
      </c>
      <c r="D255" s="20">
        <f t="shared" si="38"/>
        <v>2375.8148277293635</v>
      </c>
      <c r="E255" s="59">
        <f t="shared" si="44"/>
        <v>0</v>
      </c>
      <c r="F255" s="20">
        <f t="shared" si="39"/>
        <v>2375.8148277293635</v>
      </c>
      <c r="G255" s="20">
        <f t="shared" si="40"/>
        <v>1178.4330336968981</v>
      </c>
      <c r="H255" s="20">
        <f t="shared" si="45"/>
        <v>1197.3817940324655</v>
      </c>
      <c r="I255" s="20">
        <f t="shared" si="41"/>
        <v>211689.44146096363</v>
      </c>
      <c r="J255" s="73"/>
      <c r="K255" s="22">
        <f t="shared" si="46"/>
        <v>154610.55853903646</v>
      </c>
      <c r="L255" s="22">
        <f t="shared" si="47"/>
        <v>406081.74080509332</v>
      </c>
    </row>
    <row r="256" spans="1:12" ht="14.25" customHeight="1" x14ac:dyDescent="0.2">
      <c r="A256" s="15">
        <f t="shared" si="42"/>
        <v>237</v>
      </c>
      <c r="B256" s="16">
        <f t="shared" si="37"/>
        <v>52110</v>
      </c>
      <c r="C256" s="20">
        <f t="shared" si="43"/>
        <v>211689.44146096363</v>
      </c>
      <c r="D256" s="20">
        <f t="shared" si="38"/>
        <v>2375.8148277293635</v>
      </c>
      <c r="E256" s="59">
        <f t="shared" si="44"/>
        <v>0</v>
      </c>
      <c r="F256" s="20">
        <f t="shared" si="39"/>
        <v>2375.8148277293635</v>
      </c>
      <c r="G256" s="20">
        <f t="shared" si="40"/>
        <v>1185.061719511443</v>
      </c>
      <c r="H256" s="20">
        <f t="shared" si="45"/>
        <v>1190.7531082179205</v>
      </c>
      <c r="I256" s="20">
        <f t="shared" si="41"/>
        <v>210504.3797414522</v>
      </c>
      <c r="J256" s="73"/>
      <c r="K256" s="22">
        <f t="shared" si="46"/>
        <v>155795.62025854789</v>
      </c>
      <c r="L256" s="22">
        <f t="shared" si="47"/>
        <v>407272.49391331122</v>
      </c>
    </row>
    <row r="257" spans="1:12" ht="14.25" customHeight="1" x14ac:dyDescent="0.2">
      <c r="A257" s="15">
        <f t="shared" si="42"/>
        <v>238</v>
      </c>
      <c r="B257" s="16">
        <f t="shared" si="37"/>
        <v>52140</v>
      </c>
      <c r="C257" s="20">
        <f t="shared" si="43"/>
        <v>210504.3797414522</v>
      </c>
      <c r="D257" s="20">
        <f t="shared" si="38"/>
        <v>2375.8148277293635</v>
      </c>
      <c r="E257" s="59">
        <f t="shared" si="44"/>
        <v>0</v>
      </c>
      <c r="F257" s="20">
        <f t="shared" si="39"/>
        <v>2375.8148277293635</v>
      </c>
      <c r="G257" s="20">
        <f t="shared" si="40"/>
        <v>1191.7276916836947</v>
      </c>
      <c r="H257" s="20">
        <f t="shared" si="45"/>
        <v>1184.0871360456688</v>
      </c>
      <c r="I257" s="20">
        <f t="shared" si="41"/>
        <v>209312.65204976851</v>
      </c>
      <c r="J257" s="73"/>
      <c r="K257" s="22">
        <f t="shared" si="46"/>
        <v>156987.34795023157</v>
      </c>
      <c r="L257" s="22">
        <f t="shared" si="47"/>
        <v>408456.5810493569</v>
      </c>
    </row>
    <row r="258" spans="1:12" ht="14.25" customHeight="1" x14ac:dyDescent="0.2">
      <c r="A258" s="15">
        <f t="shared" si="42"/>
        <v>239</v>
      </c>
      <c r="B258" s="16">
        <f t="shared" si="37"/>
        <v>52171</v>
      </c>
      <c r="C258" s="20">
        <f t="shared" si="43"/>
        <v>209312.65204976851</v>
      </c>
      <c r="D258" s="20">
        <f t="shared" si="38"/>
        <v>2375.8148277293635</v>
      </c>
      <c r="E258" s="59">
        <f t="shared" si="44"/>
        <v>0</v>
      </c>
      <c r="F258" s="20">
        <f t="shared" si="39"/>
        <v>2375.8148277293635</v>
      </c>
      <c r="G258" s="20">
        <f t="shared" si="40"/>
        <v>1198.4311599494156</v>
      </c>
      <c r="H258" s="20">
        <f t="shared" si="45"/>
        <v>1177.3836677799479</v>
      </c>
      <c r="I258" s="20">
        <f t="shared" si="41"/>
        <v>208114.22088981909</v>
      </c>
      <c r="J258" s="73"/>
      <c r="K258" s="22">
        <f t="shared" si="46"/>
        <v>158185.779110181</v>
      </c>
      <c r="L258" s="22">
        <f t="shared" si="47"/>
        <v>409633.96471713687</v>
      </c>
    </row>
    <row r="259" spans="1:12" ht="14.25" customHeight="1" x14ac:dyDescent="0.2">
      <c r="A259" s="15">
        <f t="shared" si="42"/>
        <v>240</v>
      </c>
      <c r="B259" s="16">
        <f t="shared" si="37"/>
        <v>52201</v>
      </c>
      <c r="C259" s="20">
        <f t="shared" si="43"/>
        <v>208114.22088981909</v>
      </c>
      <c r="D259" s="20">
        <f t="shared" si="38"/>
        <v>2375.8148277293635</v>
      </c>
      <c r="E259" s="59">
        <f t="shared" si="44"/>
        <v>0</v>
      </c>
      <c r="F259" s="20">
        <f t="shared" si="39"/>
        <v>2375.8148277293635</v>
      </c>
      <c r="G259" s="20">
        <f t="shared" si="40"/>
        <v>1205.1723352241311</v>
      </c>
      <c r="H259" s="20">
        <f t="shared" si="45"/>
        <v>1170.6424925052324</v>
      </c>
      <c r="I259" s="20">
        <f t="shared" si="41"/>
        <v>206909.04855459495</v>
      </c>
      <c r="J259" s="73"/>
      <c r="K259" s="22">
        <f t="shared" si="46"/>
        <v>159390.95144540514</v>
      </c>
      <c r="L259" s="22">
        <f t="shared" si="47"/>
        <v>410804.60720964213</v>
      </c>
    </row>
    <row r="260" spans="1:12" ht="14.25" customHeight="1" x14ac:dyDescent="0.2">
      <c r="A260" s="15">
        <f t="shared" si="42"/>
        <v>241</v>
      </c>
      <c r="B260" s="16">
        <f t="shared" si="37"/>
        <v>52232</v>
      </c>
      <c r="C260" s="20">
        <f t="shared" si="43"/>
        <v>206909.04855459495</v>
      </c>
      <c r="D260" s="20">
        <f t="shared" si="38"/>
        <v>2375.8148277293635</v>
      </c>
      <c r="E260" s="59">
        <f t="shared" si="44"/>
        <v>0</v>
      </c>
      <c r="F260" s="20">
        <f t="shared" si="39"/>
        <v>2375.8148277293635</v>
      </c>
      <c r="G260" s="20">
        <f t="shared" si="40"/>
        <v>1211.9514296097668</v>
      </c>
      <c r="H260" s="20">
        <f t="shared" si="45"/>
        <v>1163.8633981195967</v>
      </c>
      <c r="I260" s="20">
        <f t="shared" si="41"/>
        <v>205697.09712498519</v>
      </c>
      <c r="J260" s="73"/>
      <c r="K260" s="22">
        <f t="shared" si="46"/>
        <v>160602.9028750149</v>
      </c>
      <c r="L260" s="22">
        <f t="shared" si="47"/>
        <v>411968.4706077617</v>
      </c>
    </row>
    <row r="261" spans="1:12" ht="14.25" customHeight="1" x14ac:dyDescent="0.2">
      <c r="A261" s="15">
        <f t="shared" si="42"/>
        <v>242</v>
      </c>
      <c r="B261" s="16">
        <f t="shared" si="37"/>
        <v>52263</v>
      </c>
      <c r="C261" s="20">
        <f t="shared" si="43"/>
        <v>205697.09712498519</v>
      </c>
      <c r="D261" s="20">
        <f t="shared" si="38"/>
        <v>2375.8148277293635</v>
      </c>
      <c r="E261" s="59">
        <f t="shared" si="44"/>
        <v>0</v>
      </c>
      <c r="F261" s="20">
        <f t="shared" si="39"/>
        <v>2375.8148277293635</v>
      </c>
      <c r="G261" s="20">
        <f t="shared" si="40"/>
        <v>1218.7686564013218</v>
      </c>
      <c r="H261" s="20">
        <f t="shared" si="45"/>
        <v>1157.0461713280417</v>
      </c>
      <c r="I261" s="20">
        <f t="shared" si="41"/>
        <v>204478.32846858387</v>
      </c>
      <c r="J261" s="73"/>
      <c r="K261" s="22">
        <f t="shared" si="46"/>
        <v>161821.67153141621</v>
      </c>
      <c r="L261" s="22">
        <f t="shared" si="47"/>
        <v>413125.51677908975</v>
      </c>
    </row>
    <row r="262" spans="1:12" ht="14.25" customHeight="1" x14ac:dyDescent="0.2">
      <c r="A262" s="15">
        <f t="shared" si="42"/>
        <v>243</v>
      </c>
      <c r="B262" s="16">
        <f t="shared" si="37"/>
        <v>52291</v>
      </c>
      <c r="C262" s="20">
        <f t="shared" si="43"/>
        <v>204478.32846858387</v>
      </c>
      <c r="D262" s="20">
        <f t="shared" si="38"/>
        <v>2375.8148277293635</v>
      </c>
      <c r="E262" s="59">
        <f t="shared" si="44"/>
        <v>0</v>
      </c>
      <c r="F262" s="20">
        <f t="shared" si="39"/>
        <v>2375.8148277293635</v>
      </c>
      <c r="G262" s="20">
        <f t="shared" si="40"/>
        <v>1225.6242300935792</v>
      </c>
      <c r="H262" s="20">
        <f t="shared" si="45"/>
        <v>1150.1905976357843</v>
      </c>
      <c r="I262" s="20">
        <f t="shared" si="41"/>
        <v>203252.70423849029</v>
      </c>
      <c r="J262" s="73"/>
      <c r="K262" s="22">
        <f t="shared" si="46"/>
        <v>163047.2957615098</v>
      </c>
      <c r="L262" s="22">
        <f t="shared" si="47"/>
        <v>414275.70737672556</v>
      </c>
    </row>
    <row r="263" spans="1:12" ht="14.25" customHeight="1" x14ac:dyDescent="0.2">
      <c r="A263" s="15">
        <f t="shared" si="42"/>
        <v>244</v>
      </c>
      <c r="B263" s="16">
        <f t="shared" si="37"/>
        <v>52322</v>
      </c>
      <c r="C263" s="20">
        <f t="shared" si="43"/>
        <v>203252.70423849029</v>
      </c>
      <c r="D263" s="20">
        <f t="shared" si="38"/>
        <v>2375.8148277293635</v>
      </c>
      <c r="E263" s="59">
        <f t="shared" si="44"/>
        <v>0</v>
      </c>
      <c r="F263" s="20">
        <f t="shared" si="39"/>
        <v>2375.8148277293635</v>
      </c>
      <c r="G263" s="20">
        <f t="shared" si="40"/>
        <v>1232.5183663878556</v>
      </c>
      <c r="H263" s="20">
        <f t="shared" si="45"/>
        <v>1143.2964613415079</v>
      </c>
      <c r="I263" s="20">
        <f t="shared" si="41"/>
        <v>202020.18587210245</v>
      </c>
      <c r="J263" s="73"/>
      <c r="K263" s="22">
        <f t="shared" si="46"/>
        <v>164279.81412789764</v>
      </c>
      <c r="L263" s="22">
        <f t="shared" si="47"/>
        <v>415419.00383806706</v>
      </c>
    </row>
    <row r="264" spans="1:12" ht="14.25" customHeight="1" x14ac:dyDescent="0.2">
      <c r="A264" s="15">
        <f t="shared" si="42"/>
        <v>245</v>
      </c>
      <c r="B264" s="16">
        <f t="shared" si="37"/>
        <v>52352</v>
      </c>
      <c r="C264" s="20">
        <f t="shared" si="43"/>
        <v>202020.18587210245</v>
      </c>
      <c r="D264" s="20">
        <f t="shared" si="38"/>
        <v>2375.8148277293635</v>
      </c>
      <c r="E264" s="59">
        <f t="shared" si="44"/>
        <v>0</v>
      </c>
      <c r="F264" s="20">
        <f t="shared" si="39"/>
        <v>2375.8148277293635</v>
      </c>
      <c r="G264" s="20">
        <f t="shared" si="40"/>
        <v>1239.4512821987871</v>
      </c>
      <c r="H264" s="20">
        <f t="shared" si="45"/>
        <v>1136.3635455305764</v>
      </c>
      <c r="I264" s="20">
        <f t="shared" si="41"/>
        <v>200780.73458990367</v>
      </c>
      <c r="J264" s="73"/>
      <c r="K264" s="22">
        <f t="shared" si="46"/>
        <v>165519.26541009641</v>
      </c>
      <c r="L264" s="22">
        <f t="shared" si="47"/>
        <v>416555.36738359765</v>
      </c>
    </row>
    <row r="265" spans="1:12" ht="14.25" customHeight="1" x14ac:dyDescent="0.2">
      <c r="A265" s="15">
        <f t="shared" si="42"/>
        <v>246</v>
      </c>
      <c r="B265" s="16">
        <f t="shared" si="37"/>
        <v>52383</v>
      </c>
      <c r="C265" s="20">
        <f t="shared" si="43"/>
        <v>200780.73458990367</v>
      </c>
      <c r="D265" s="20">
        <f t="shared" si="38"/>
        <v>2375.8148277293635</v>
      </c>
      <c r="E265" s="59">
        <f t="shared" si="44"/>
        <v>0</v>
      </c>
      <c r="F265" s="20">
        <f t="shared" si="39"/>
        <v>2375.8148277293635</v>
      </c>
      <c r="G265" s="20">
        <f t="shared" si="40"/>
        <v>1246.4231956611552</v>
      </c>
      <c r="H265" s="20">
        <f t="shared" si="45"/>
        <v>1129.3916320682083</v>
      </c>
      <c r="I265" s="20">
        <f t="shared" si="41"/>
        <v>199534.31139424251</v>
      </c>
      <c r="J265" s="73"/>
      <c r="K265" s="22">
        <f t="shared" si="46"/>
        <v>166765.68860575758</v>
      </c>
      <c r="L265" s="22">
        <f t="shared" si="47"/>
        <v>417684.75901566586</v>
      </c>
    </row>
    <row r="266" spans="1:12" ht="14.25" customHeight="1" x14ac:dyDescent="0.2">
      <c r="A266" s="15">
        <f t="shared" si="42"/>
        <v>247</v>
      </c>
      <c r="B266" s="16">
        <f t="shared" si="37"/>
        <v>52413</v>
      </c>
      <c r="C266" s="20">
        <f t="shared" si="43"/>
        <v>199534.31139424251</v>
      </c>
      <c r="D266" s="20">
        <f t="shared" si="38"/>
        <v>2375.8148277293635</v>
      </c>
      <c r="E266" s="59">
        <f t="shared" si="44"/>
        <v>0</v>
      </c>
      <c r="F266" s="20">
        <f t="shared" si="39"/>
        <v>2375.8148277293635</v>
      </c>
      <c r="G266" s="20">
        <f t="shared" si="40"/>
        <v>1253.4343261367492</v>
      </c>
      <c r="H266" s="20">
        <f t="shared" si="45"/>
        <v>1122.3805015926143</v>
      </c>
      <c r="I266" s="20">
        <f t="shared" si="41"/>
        <v>198280.87706810576</v>
      </c>
      <c r="J266" s="73"/>
      <c r="K266" s="22">
        <f t="shared" si="46"/>
        <v>168019.12293189432</v>
      </c>
      <c r="L266" s="22">
        <f t="shared" si="47"/>
        <v>418807.13951725845</v>
      </c>
    </row>
    <row r="267" spans="1:12" ht="14.25" customHeight="1" x14ac:dyDescent="0.2">
      <c r="A267" s="15">
        <f t="shared" si="42"/>
        <v>248</v>
      </c>
      <c r="B267" s="16">
        <f t="shared" si="37"/>
        <v>52444</v>
      </c>
      <c r="C267" s="20">
        <f t="shared" si="43"/>
        <v>198280.87706810576</v>
      </c>
      <c r="D267" s="20">
        <f t="shared" si="38"/>
        <v>2375.8148277293635</v>
      </c>
      <c r="E267" s="59">
        <f t="shared" si="44"/>
        <v>0</v>
      </c>
      <c r="F267" s="20">
        <f t="shared" si="39"/>
        <v>2375.8148277293635</v>
      </c>
      <c r="G267" s="20">
        <f t="shared" si="40"/>
        <v>1260.4848942212686</v>
      </c>
      <c r="H267" s="20">
        <f t="shared" si="45"/>
        <v>1115.3299335080949</v>
      </c>
      <c r="I267" s="20">
        <f t="shared" si="41"/>
        <v>197020.39217388449</v>
      </c>
      <c r="J267" s="73"/>
      <c r="K267" s="22">
        <f t="shared" si="46"/>
        <v>169279.60782611559</v>
      </c>
      <c r="L267" s="22">
        <f t="shared" si="47"/>
        <v>419922.46945076651</v>
      </c>
    </row>
    <row r="268" spans="1:12" ht="14.25" customHeight="1" x14ac:dyDescent="0.2">
      <c r="A268" s="15">
        <f t="shared" si="42"/>
        <v>249</v>
      </c>
      <c r="B268" s="16">
        <f t="shared" si="37"/>
        <v>52475</v>
      </c>
      <c r="C268" s="20">
        <f t="shared" si="43"/>
        <v>197020.39217388449</v>
      </c>
      <c r="D268" s="20">
        <f t="shared" si="38"/>
        <v>2375.8148277293635</v>
      </c>
      <c r="E268" s="59">
        <f t="shared" si="44"/>
        <v>0</v>
      </c>
      <c r="F268" s="20">
        <f t="shared" si="39"/>
        <v>2375.8148277293635</v>
      </c>
      <c r="G268" s="20">
        <f t="shared" si="40"/>
        <v>1267.5751217512632</v>
      </c>
      <c r="H268" s="20">
        <f t="shared" si="45"/>
        <v>1108.2397059781003</v>
      </c>
      <c r="I268" s="20">
        <f t="shared" si="41"/>
        <v>195752.81705213324</v>
      </c>
      <c r="J268" s="73"/>
      <c r="K268" s="22">
        <f t="shared" si="46"/>
        <v>170547.18294786685</v>
      </c>
      <c r="L268" s="22">
        <f t="shared" si="47"/>
        <v>421030.70915674459</v>
      </c>
    </row>
    <row r="269" spans="1:12" ht="14.25" customHeight="1" x14ac:dyDescent="0.2">
      <c r="A269" s="15">
        <f t="shared" si="42"/>
        <v>250</v>
      </c>
      <c r="B269" s="16">
        <f t="shared" si="37"/>
        <v>52505</v>
      </c>
      <c r="C269" s="20">
        <f t="shared" si="43"/>
        <v>195752.81705213324</v>
      </c>
      <c r="D269" s="20">
        <f t="shared" si="38"/>
        <v>2375.8148277293635</v>
      </c>
      <c r="E269" s="59">
        <f t="shared" si="44"/>
        <v>0</v>
      </c>
      <c r="F269" s="20">
        <f t="shared" si="39"/>
        <v>2375.8148277293635</v>
      </c>
      <c r="G269" s="20">
        <f t="shared" si="40"/>
        <v>1274.7052318111139</v>
      </c>
      <c r="H269" s="20">
        <f t="shared" si="45"/>
        <v>1101.1095959182496</v>
      </c>
      <c r="I269" s="20">
        <f t="shared" si="41"/>
        <v>194478.11182032211</v>
      </c>
      <c r="J269" s="73"/>
      <c r="K269" s="22">
        <f t="shared" si="46"/>
        <v>171821.88817967798</v>
      </c>
      <c r="L269" s="22">
        <f t="shared" si="47"/>
        <v>422131.81875266286</v>
      </c>
    </row>
    <row r="270" spans="1:12" ht="14.25" customHeight="1" x14ac:dyDescent="0.2">
      <c r="A270" s="15">
        <f t="shared" si="42"/>
        <v>251</v>
      </c>
      <c r="B270" s="16">
        <f t="shared" si="37"/>
        <v>52536</v>
      </c>
      <c r="C270" s="20">
        <f t="shared" si="43"/>
        <v>194478.11182032211</v>
      </c>
      <c r="D270" s="20">
        <f t="shared" si="38"/>
        <v>2375.8148277293635</v>
      </c>
      <c r="E270" s="59">
        <f t="shared" si="44"/>
        <v>0</v>
      </c>
      <c r="F270" s="20">
        <f t="shared" si="39"/>
        <v>2375.8148277293635</v>
      </c>
      <c r="G270" s="20">
        <f t="shared" si="40"/>
        <v>1281.8754487400515</v>
      </c>
      <c r="H270" s="20">
        <f t="shared" si="45"/>
        <v>1093.939378989312</v>
      </c>
      <c r="I270" s="20">
        <f t="shared" si="41"/>
        <v>193196.23637158205</v>
      </c>
      <c r="J270" s="73"/>
      <c r="K270" s="22">
        <f t="shared" si="46"/>
        <v>173103.76362841803</v>
      </c>
      <c r="L270" s="22">
        <f t="shared" si="47"/>
        <v>423225.7581316522</v>
      </c>
    </row>
    <row r="271" spans="1:12" ht="14.25" customHeight="1" x14ac:dyDescent="0.2">
      <c r="A271" s="15">
        <f t="shared" si="42"/>
        <v>252</v>
      </c>
      <c r="B271" s="16">
        <f t="shared" si="37"/>
        <v>52566</v>
      </c>
      <c r="C271" s="20">
        <f t="shared" si="43"/>
        <v>193196.23637158205</v>
      </c>
      <c r="D271" s="20">
        <f t="shared" si="38"/>
        <v>2375.8148277293635</v>
      </c>
      <c r="E271" s="59">
        <f t="shared" si="44"/>
        <v>0</v>
      </c>
      <c r="F271" s="20">
        <f t="shared" si="39"/>
        <v>2375.8148277293635</v>
      </c>
      <c r="G271" s="20">
        <f t="shared" si="40"/>
        <v>1289.0859981392143</v>
      </c>
      <c r="H271" s="20">
        <f t="shared" si="45"/>
        <v>1086.7288295901492</v>
      </c>
      <c r="I271" s="20">
        <f t="shared" si="41"/>
        <v>191907.15037344283</v>
      </c>
      <c r="J271" s="73"/>
      <c r="K271" s="22">
        <f t="shared" si="46"/>
        <v>174392.84962655726</v>
      </c>
      <c r="L271" s="22">
        <f t="shared" si="47"/>
        <v>424312.48696124234</v>
      </c>
    </row>
    <row r="272" spans="1:12" ht="14.25" customHeight="1" x14ac:dyDescent="0.2">
      <c r="A272" s="15">
        <f t="shared" si="42"/>
        <v>253</v>
      </c>
      <c r="B272" s="16">
        <f t="shared" si="37"/>
        <v>52597</v>
      </c>
      <c r="C272" s="20">
        <f t="shared" si="43"/>
        <v>191907.15037344283</v>
      </c>
      <c r="D272" s="20">
        <f t="shared" si="38"/>
        <v>2375.8148277293635</v>
      </c>
      <c r="E272" s="59">
        <f t="shared" si="44"/>
        <v>0</v>
      </c>
      <c r="F272" s="20">
        <f t="shared" si="39"/>
        <v>2375.8148277293635</v>
      </c>
      <c r="G272" s="20">
        <f t="shared" si="40"/>
        <v>1296.3371068787476</v>
      </c>
      <c r="H272" s="20">
        <f t="shared" si="45"/>
        <v>1079.4777208506159</v>
      </c>
      <c r="I272" s="20">
        <f t="shared" si="41"/>
        <v>190610.81326656407</v>
      </c>
      <c r="J272" s="73"/>
      <c r="K272" s="22">
        <f t="shared" si="46"/>
        <v>175689.18673343601</v>
      </c>
      <c r="L272" s="22">
        <f t="shared" si="47"/>
        <v>425391.96468209295</v>
      </c>
    </row>
    <row r="273" spans="1:12" ht="14.25" customHeight="1" x14ac:dyDescent="0.2">
      <c r="A273" s="15">
        <f t="shared" si="42"/>
        <v>254</v>
      </c>
      <c r="B273" s="16">
        <f t="shared" si="37"/>
        <v>52628</v>
      </c>
      <c r="C273" s="20">
        <f t="shared" si="43"/>
        <v>190610.81326656407</v>
      </c>
      <c r="D273" s="20">
        <f t="shared" si="38"/>
        <v>2375.8148277293635</v>
      </c>
      <c r="E273" s="59">
        <f t="shared" si="44"/>
        <v>0</v>
      </c>
      <c r="F273" s="20">
        <f t="shared" si="39"/>
        <v>2375.8148277293635</v>
      </c>
      <c r="G273" s="20">
        <f t="shared" si="40"/>
        <v>1303.6290031049405</v>
      </c>
      <c r="H273" s="20">
        <f t="shared" si="45"/>
        <v>1072.185824624423</v>
      </c>
      <c r="I273" s="20">
        <f t="shared" si="41"/>
        <v>189307.18426345914</v>
      </c>
      <c r="J273" s="73"/>
      <c r="K273" s="22">
        <f t="shared" si="46"/>
        <v>176992.81573654094</v>
      </c>
      <c r="L273" s="22">
        <f t="shared" si="47"/>
        <v>426464.15050671739</v>
      </c>
    </row>
    <row r="274" spans="1:12" ht="14.25" customHeight="1" x14ac:dyDescent="0.2">
      <c r="A274" s="15">
        <f t="shared" si="42"/>
        <v>255</v>
      </c>
      <c r="B274" s="16">
        <f t="shared" si="37"/>
        <v>52657</v>
      </c>
      <c r="C274" s="20">
        <f t="shared" si="43"/>
        <v>189307.18426345914</v>
      </c>
      <c r="D274" s="20">
        <f t="shared" si="38"/>
        <v>2375.8148277293635</v>
      </c>
      <c r="E274" s="59">
        <f t="shared" si="44"/>
        <v>0</v>
      </c>
      <c r="F274" s="20">
        <f t="shared" si="39"/>
        <v>2375.8148277293635</v>
      </c>
      <c r="G274" s="20">
        <f t="shared" si="40"/>
        <v>1310.9619162474057</v>
      </c>
      <c r="H274" s="20">
        <f t="shared" si="45"/>
        <v>1064.8529114819578</v>
      </c>
      <c r="I274" s="20">
        <f t="shared" si="41"/>
        <v>187996.22234721173</v>
      </c>
      <c r="J274" s="73"/>
      <c r="K274" s="22">
        <f t="shared" si="46"/>
        <v>178303.77765278835</v>
      </c>
      <c r="L274" s="22">
        <f t="shared" si="47"/>
        <v>427529.00341819937</v>
      </c>
    </row>
    <row r="275" spans="1:12" ht="14.25" customHeight="1" x14ac:dyDescent="0.2">
      <c r="A275" s="15">
        <f t="shared" si="42"/>
        <v>256</v>
      </c>
      <c r="B275" s="16">
        <f t="shared" si="37"/>
        <v>52688</v>
      </c>
      <c r="C275" s="20">
        <f t="shared" si="43"/>
        <v>187996.22234721173</v>
      </c>
      <c r="D275" s="20">
        <f t="shared" si="38"/>
        <v>2375.8148277293635</v>
      </c>
      <c r="E275" s="59">
        <f t="shared" si="44"/>
        <v>0</v>
      </c>
      <c r="F275" s="20">
        <f t="shared" si="39"/>
        <v>2375.8148277293635</v>
      </c>
      <c r="G275" s="20">
        <f t="shared" si="40"/>
        <v>1318.3360770262975</v>
      </c>
      <c r="H275" s="20">
        <f t="shared" si="45"/>
        <v>1057.478750703066</v>
      </c>
      <c r="I275" s="20">
        <f t="shared" si="41"/>
        <v>186677.88627018544</v>
      </c>
      <c r="J275" s="73"/>
      <c r="K275" s="22">
        <f t="shared" si="46"/>
        <v>179622.11372981465</v>
      </c>
      <c r="L275" s="22">
        <f t="shared" si="47"/>
        <v>428586.48216890241</v>
      </c>
    </row>
    <row r="276" spans="1:12" ht="14.25" customHeight="1" x14ac:dyDescent="0.2">
      <c r="A276" s="15">
        <f t="shared" si="42"/>
        <v>257</v>
      </c>
      <c r="B276" s="16">
        <f t="shared" ref="B276:B339" si="48">IF(Pay_Num&lt;&gt;"",DATE(YEAR(Loan_Start),MONTH(Loan_Start)+(Pay_Num)*12/Num_Pmt_Per_Year,DAY(Loan_Start)),"")</f>
        <v>52718</v>
      </c>
      <c r="C276" s="20">
        <f t="shared" si="43"/>
        <v>186677.88627018544</v>
      </c>
      <c r="D276" s="20">
        <f t="shared" ref="D276:D339" si="49">IF($AG$14&lt;&gt;"",(IF(A276&lt;=$AG$15,(Loan_Amount*Interest_Rate/12),(Loan_Amount*((Interest_Rate/12+1)-1)/(1-((Interest_Rate/12+1)^(Loan_Years*-12+$AG$15)))))),(Loan_Amount*((Interest_Rate/12+1)-1)/(1-((Interest_Rate/12+1)^(Loan_Years*-12)))))</f>
        <v>2375.8148277293635</v>
      </c>
      <c r="E276" s="59">
        <f t="shared" si="44"/>
        <v>0</v>
      </c>
      <c r="F276" s="20">
        <f t="shared" ref="F276:F339" si="50">IF(AND(Pay_Num&lt;&gt;"",Sched_Pay+Extra_Pay&lt;Beg_Bal),Sched_Pay+Extra_Pay,IF(Pay_Num&lt;&gt;"",Beg_Bal,""))</f>
        <v>2375.8148277293635</v>
      </c>
      <c r="G276" s="20">
        <f t="shared" ref="G276:G339" si="51">IF(Pay_Num&lt;&gt;"",Total_Pay-Int,"")</f>
        <v>1325.7517174595703</v>
      </c>
      <c r="H276" s="20">
        <f t="shared" si="45"/>
        <v>1050.0631102697932</v>
      </c>
      <c r="I276" s="20">
        <f t="shared" ref="I276:I339" si="52">IF(AND(Pay_Num&lt;&gt;"",Sched_Pay+Extra_Pay&lt;Beg_Bal),Beg_Bal-Princ,IF(Pay_Num&lt;&gt;"",0,""))</f>
        <v>185352.13455272588</v>
      </c>
      <c r="J276" s="73"/>
      <c r="K276" s="22">
        <f t="shared" si="46"/>
        <v>180947.86544727421</v>
      </c>
      <c r="L276" s="22">
        <f t="shared" si="47"/>
        <v>429636.54527917219</v>
      </c>
    </row>
    <row r="277" spans="1:12" ht="14.25" customHeight="1" x14ac:dyDescent="0.2">
      <c r="A277" s="15">
        <f t="shared" ref="A277:A340" si="53">IF(values_entered,A276+1,"")</f>
        <v>258</v>
      </c>
      <c r="B277" s="16">
        <f t="shared" si="48"/>
        <v>52749</v>
      </c>
      <c r="C277" s="20">
        <f t="shared" ref="C277:C340" si="54">IF(Pay_Num&lt;&gt;"",I276,"")</f>
        <v>185352.13455272588</v>
      </c>
      <c r="D277" s="20">
        <f t="shared" si="49"/>
        <v>2375.8148277293635</v>
      </c>
      <c r="E277" s="59">
        <f t="shared" ref="E277:E340" si="55">$D$13</f>
        <v>0</v>
      </c>
      <c r="F277" s="20">
        <f t="shared" si="50"/>
        <v>2375.8148277293635</v>
      </c>
      <c r="G277" s="20">
        <f t="shared" si="51"/>
        <v>1333.2090708702804</v>
      </c>
      <c r="H277" s="20">
        <f t="shared" ref="H277:H340" si="56">IF(Pay_Num&lt;&gt;"",Beg_Bal*Interest_Rate/Num_Pmt_Per_Year,"")</f>
        <v>1042.6057568590832</v>
      </c>
      <c r="I277" s="20">
        <f t="shared" si="52"/>
        <v>184018.92548185561</v>
      </c>
      <c r="J277" s="73"/>
      <c r="K277" s="22">
        <f t="shared" ref="K277:K340" si="57">G277+K276</f>
        <v>182281.07451814448</v>
      </c>
      <c r="L277" s="22">
        <f t="shared" ref="L277:L340" si="58">L276+H277</f>
        <v>430679.15103603125</v>
      </c>
    </row>
    <row r="278" spans="1:12" ht="14.25" customHeight="1" x14ac:dyDescent="0.2">
      <c r="A278" s="15">
        <f t="shared" si="53"/>
        <v>259</v>
      </c>
      <c r="B278" s="16">
        <f t="shared" si="48"/>
        <v>52779</v>
      </c>
      <c r="C278" s="20">
        <f t="shared" si="54"/>
        <v>184018.92548185561</v>
      </c>
      <c r="D278" s="20">
        <f t="shared" si="49"/>
        <v>2375.8148277293635</v>
      </c>
      <c r="E278" s="59">
        <f t="shared" si="55"/>
        <v>0</v>
      </c>
      <c r="F278" s="20">
        <f t="shared" si="50"/>
        <v>2375.8148277293635</v>
      </c>
      <c r="G278" s="20">
        <f t="shared" si="51"/>
        <v>1340.7083718939257</v>
      </c>
      <c r="H278" s="20">
        <f t="shared" si="56"/>
        <v>1035.1064558354378</v>
      </c>
      <c r="I278" s="20">
        <f t="shared" si="52"/>
        <v>182678.21710996167</v>
      </c>
      <c r="J278" s="73"/>
      <c r="K278" s="22">
        <f t="shared" si="57"/>
        <v>183621.78289003842</v>
      </c>
      <c r="L278" s="22">
        <f t="shared" si="58"/>
        <v>431714.25749186671</v>
      </c>
    </row>
    <row r="279" spans="1:12" ht="14.25" customHeight="1" x14ac:dyDescent="0.2">
      <c r="A279" s="15">
        <f t="shared" si="53"/>
        <v>260</v>
      </c>
      <c r="B279" s="16">
        <f t="shared" si="48"/>
        <v>52810</v>
      </c>
      <c r="C279" s="20">
        <f t="shared" si="54"/>
        <v>182678.21710996167</v>
      </c>
      <c r="D279" s="20">
        <f t="shared" si="49"/>
        <v>2375.8148277293635</v>
      </c>
      <c r="E279" s="59">
        <f t="shared" si="55"/>
        <v>0</v>
      </c>
      <c r="F279" s="20">
        <f t="shared" si="50"/>
        <v>2375.8148277293635</v>
      </c>
      <c r="G279" s="20">
        <f t="shared" si="51"/>
        <v>1348.249856485829</v>
      </c>
      <c r="H279" s="20">
        <f t="shared" si="56"/>
        <v>1027.5649712435345</v>
      </c>
      <c r="I279" s="20">
        <f t="shared" si="52"/>
        <v>181329.96725347583</v>
      </c>
      <c r="J279" s="73"/>
      <c r="K279" s="22">
        <f t="shared" si="57"/>
        <v>184970.03274652426</v>
      </c>
      <c r="L279" s="22">
        <f t="shared" si="58"/>
        <v>432741.82246311026</v>
      </c>
    </row>
    <row r="280" spans="1:12" ht="14.25" customHeight="1" x14ac:dyDescent="0.2">
      <c r="A280" s="15">
        <f t="shared" si="53"/>
        <v>261</v>
      </c>
      <c r="B280" s="16">
        <f t="shared" si="48"/>
        <v>52841</v>
      </c>
      <c r="C280" s="20">
        <f t="shared" si="54"/>
        <v>181329.96725347583</v>
      </c>
      <c r="D280" s="20">
        <f t="shared" si="49"/>
        <v>2375.8148277293635</v>
      </c>
      <c r="E280" s="59">
        <f t="shared" si="55"/>
        <v>0</v>
      </c>
      <c r="F280" s="20">
        <f t="shared" si="50"/>
        <v>2375.8148277293635</v>
      </c>
      <c r="G280" s="20">
        <f t="shared" si="51"/>
        <v>1355.8337619285621</v>
      </c>
      <c r="H280" s="20">
        <f t="shared" si="56"/>
        <v>1019.9810658008015</v>
      </c>
      <c r="I280" s="20">
        <f t="shared" si="52"/>
        <v>179974.13349154725</v>
      </c>
      <c r="J280" s="73"/>
      <c r="K280" s="22">
        <f t="shared" si="57"/>
        <v>186325.86650845283</v>
      </c>
      <c r="L280" s="22">
        <f t="shared" si="58"/>
        <v>433761.80352891108</v>
      </c>
    </row>
    <row r="281" spans="1:12" ht="14.25" customHeight="1" x14ac:dyDescent="0.2">
      <c r="A281" s="15">
        <f t="shared" si="53"/>
        <v>262</v>
      </c>
      <c r="B281" s="16">
        <f t="shared" si="48"/>
        <v>52871</v>
      </c>
      <c r="C281" s="20">
        <f t="shared" si="54"/>
        <v>179974.13349154725</v>
      </c>
      <c r="D281" s="20">
        <f t="shared" si="49"/>
        <v>2375.8148277293635</v>
      </c>
      <c r="E281" s="59">
        <f t="shared" si="55"/>
        <v>0</v>
      </c>
      <c r="F281" s="20">
        <f t="shared" si="50"/>
        <v>2375.8148277293635</v>
      </c>
      <c r="G281" s="20">
        <f t="shared" si="51"/>
        <v>1363.4603268394103</v>
      </c>
      <c r="H281" s="20">
        <f t="shared" si="56"/>
        <v>1012.3545008899533</v>
      </c>
      <c r="I281" s="20">
        <f t="shared" si="52"/>
        <v>178610.67316470784</v>
      </c>
      <c r="J281" s="73"/>
      <c r="K281" s="22">
        <f t="shared" si="57"/>
        <v>187689.32683529225</v>
      </c>
      <c r="L281" s="22">
        <f t="shared" si="58"/>
        <v>434774.15802980104</v>
      </c>
    </row>
    <row r="282" spans="1:12" ht="14.25" customHeight="1" x14ac:dyDescent="0.2">
      <c r="A282" s="15">
        <f t="shared" si="53"/>
        <v>263</v>
      </c>
      <c r="B282" s="16">
        <f t="shared" si="48"/>
        <v>52902</v>
      </c>
      <c r="C282" s="20">
        <f t="shared" si="54"/>
        <v>178610.67316470784</v>
      </c>
      <c r="D282" s="20">
        <f t="shared" si="49"/>
        <v>2375.8148277293635</v>
      </c>
      <c r="E282" s="59">
        <f t="shared" si="55"/>
        <v>0</v>
      </c>
      <c r="F282" s="20">
        <f t="shared" si="50"/>
        <v>2375.8148277293635</v>
      </c>
      <c r="G282" s="20">
        <f t="shared" si="51"/>
        <v>1371.129791177882</v>
      </c>
      <c r="H282" s="20">
        <f t="shared" si="56"/>
        <v>1004.6850365514816</v>
      </c>
      <c r="I282" s="20">
        <f t="shared" si="52"/>
        <v>177239.54337352997</v>
      </c>
      <c r="J282" s="73"/>
      <c r="K282" s="22">
        <f t="shared" si="57"/>
        <v>189060.45662647014</v>
      </c>
      <c r="L282" s="22">
        <f t="shared" si="58"/>
        <v>435778.84306635254</v>
      </c>
    </row>
    <row r="283" spans="1:12" ht="14.25" customHeight="1" x14ac:dyDescent="0.2">
      <c r="A283" s="15">
        <f t="shared" si="53"/>
        <v>264</v>
      </c>
      <c r="B283" s="16">
        <f t="shared" si="48"/>
        <v>52932</v>
      </c>
      <c r="C283" s="20">
        <f t="shared" si="54"/>
        <v>177239.54337352997</v>
      </c>
      <c r="D283" s="20">
        <f t="shared" si="49"/>
        <v>2375.8148277293635</v>
      </c>
      <c r="E283" s="59">
        <f t="shared" si="55"/>
        <v>0</v>
      </c>
      <c r="F283" s="20">
        <f t="shared" si="50"/>
        <v>2375.8148277293635</v>
      </c>
      <c r="G283" s="20">
        <f t="shared" si="51"/>
        <v>1378.8423962532574</v>
      </c>
      <c r="H283" s="20">
        <f t="shared" si="56"/>
        <v>996.97243147610618</v>
      </c>
      <c r="I283" s="20">
        <f t="shared" si="52"/>
        <v>175860.70097727672</v>
      </c>
      <c r="J283" s="73"/>
      <c r="K283" s="22">
        <f t="shared" si="57"/>
        <v>190439.2990227234</v>
      </c>
      <c r="L283" s="22">
        <f t="shared" si="58"/>
        <v>436775.81549782865</v>
      </c>
    </row>
    <row r="284" spans="1:12" ht="14.25" customHeight="1" x14ac:dyDescent="0.2">
      <c r="A284" s="15">
        <f t="shared" si="53"/>
        <v>265</v>
      </c>
      <c r="B284" s="16">
        <f t="shared" si="48"/>
        <v>52963</v>
      </c>
      <c r="C284" s="20">
        <f t="shared" si="54"/>
        <v>175860.70097727672</v>
      </c>
      <c r="D284" s="20">
        <f t="shared" si="49"/>
        <v>2375.8148277293635</v>
      </c>
      <c r="E284" s="59">
        <f t="shared" si="55"/>
        <v>0</v>
      </c>
      <c r="F284" s="20">
        <f t="shared" si="50"/>
        <v>2375.8148277293635</v>
      </c>
      <c r="G284" s="20">
        <f t="shared" si="51"/>
        <v>1386.5983847321818</v>
      </c>
      <c r="H284" s="20">
        <f t="shared" si="56"/>
        <v>989.21644299718162</v>
      </c>
      <c r="I284" s="20">
        <f t="shared" si="52"/>
        <v>174474.10259254454</v>
      </c>
      <c r="J284" s="73"/>
      <c r="K284" s="22">
        <f t="shared" si="57"/>
        <v>191825.89740745557</v>
      </c>
      <c r="L284" s="22">
        <f t="shared" si="58"/>
        <v>437765.03194082581</v>
      </c>
    </row>
    <row r="285" spans="1:12" ht="14.25" customHeight="1" x14ac:dyDescent="0.2">
      <c r="A285" s="15">
        <f t="shared" si="53"/>
        <v>266</v>
      </c>
      <c r="B285" s="16">
        <f t="shared" si="48"/>
        <v>52994</v>
      </c>
      <c r="C285" s="20">
        <f t="shared" si="54"/>
        <v>174474.10259254454</v>
      </c>
      <c r="D285" s="20">
        <f t="shared" si="49"/>
        <v>2375.8148277293635</v>
      </c>
      <c r="E285" s="59">
        <f t="shared" si="55"/>
        <v>0</v>
      </c>
      <c r="F285" s="20">
        <f t="shared" si="50"/>
        <v>2375.8148277293635</v>
      </c>
      <c r="G285" s="20">
        <f t="shared" si="51"/>
        <v>1394.3980006463003</v>
      </c>
      <c r="H285" s="20">
        <f t="shared" si="56"/>
        <v>981.41682708306314</v>
      </c>
      <c r="I285" s="20">
        <f t="shared" si="52"/>
        <v>173079.70459189825</v>
      </c>
      <c r="J285" s="73"/>
      <c r="K285" s="22">
        <f t="shared" si="57"/>
        <v>193220.29540810187</v>
      </c>
      <c r="L285" s="22">
        <f t="shared" si="58"/>
        <v>438746.44876790885</v>
      </c>
    </row>
    <row r="286" spans="1:12" ht="14.25" customHeight="1" x14ac:dyDescent="0.2">
      <c r="A286" s="15">
        <f t="shared" si="53"/>
        <v>267</v>
      </c>
      <c r="B286" s="16">
        <f t="shared" si="48"/>
        <v>53022</v>
      </c>
      <c r="C286" s="20">
        <f t="shared" si="54"/>
        <v>173079.70459189825</v>
      </c>
      <c r="D286" s="20">
        <f t="shared" si="49"/>
        <v>2375.8148277293635</v>
      </c>
      <c r="E286" s="59">
        <f t="shared" si="55"/>
        <v>0</v>
      </c>
      <c r="F286" s="20">
        <f t="shared" si="50"/>
        <v>2375.8148277293635</v>
      </c>
      <c r="G286" s="20">
        <f t="shared" si="51"/>
        <v>1402.2414893999357</v>
      </c>
      <c r="H286" s="20">
        <f t="shared" si="56"/>
        <v>973.57333832942777</v>
      </c>
      <c r="I286" s="20">
        <f t="shared" si="52"/>
        <v>171677.46310249832</v>
      </c>
      <c r="J286" s="73"/>
      <c r="K286" s="22">
        <f t="shared" si="57"/>
        <v>194622.53689750179</v>
      </c>
      <c r="L286" s="22">
        <f t="shared" si="58"/>
        <v>439720.02210623829</v>
      </c>
    </row>
    <row r="287" spans="1:12" ht="14.25" customHeight="1" x14ac:dyDescent="0.2">
      <c r="A287" s="15">
        <f t="shared" si="53"/>
        <v>268</v>
      </c>
      <c r="B287" s="16">
        <f t="shared" si="48"/>
        <v>53053</v>
      </c>
      <c r="C287" s="20">
        <f t="shared" si="54"/>
        <v>171677.46310249832</v>
      </c>
      <c r="D287" s="20">
        <f t="shared" si="49"/>
        <v>2375.8148277293635</v>
      </c>
      <c r="E287" s="59">
        <f t="shared" si="55"/>
        <v>0</v>
      </c>
      <c r="F287" s="20">
        <f t="shared" si="50"/>
        <v>2375.8148277293635</v>
      </c>
      <c r="G287" s="20">
        <f t="shared" si="51"/>
        <v>1410.1290977778103</v>
      </c>
      <c r="H287" s="20">
        <f t="shared" si="56"/>
        <v>965.68572995155318</v>
      </c>
      <c r="I287" s="20">
        <f t="shared" si="52"/>
        <v>170267.33400472053</v>
      </c>
      <c r="J287" s="73"/>
      <c r="K287" s="22">
        <f t="shared" si="57"/>
        <v>196032.66599527959</v>
      </c>
      <c r="L287" s="22">
        <f t="shared" si="58"/>
        <v>440685.70783618983</v>
      </c>
    </row>
    <row r="288" spans="1:12" ht="14.25" customHeight="1" x14ac:dyDescent="0.2">
      <c r="A288" s="15">
        <f t="shared" si="53"/>
        <v>269</v>
      </c>
      <c r="B288" s="16">
        <f t="shared" si="48"/>
        <v>53083</v>
      </c>
      <c r="C288" s="20">
        <f t="shared" si="54"/>
        <v>170267.33400472053</v>
      </c>
      <c r="D288" s="20">
        <f t="shared" si="49"/>
        <v>2375.8148277293635</v>
      </c>
      <c r="E288" s="59">
        <f t="shared" si="55"/>
        <v>0</v>
      </c>
      <c r="F288" s="20">
        <f t="shared" si="50"/>
        <v>2375.8148277293635</v>
      </c>
      <c r="G288" s="20">
        <f t="shared" si="51"/>
        <v>1418.0610739528106</v>
      </c>
      <c r="H288" s="20">
        <f t="shared" si="56"/>
        <v>957.75375377655303</v>
      </c>
      <c r="I288" s="20">
        <f t="shared" si="52"/>
        <v>168849.27293076771</v>
      </c>
      <c r="J288" s="73"/>
      <c r="K288" s="22">
        <f t="shared" si="57"/>
        <v>197450.72706923241</v>
      </c>
      <c r="L288" s="22">
        <f t="shared" si="58"/>
        <v>441643.46158996638</v>
      </c>
    </row>
    <row r="289" spans="1:12" ht="14.25" customHeight="1" x14ac:dyDescent="0.2">
      <c r="A289" s="15">
        <f t="shared" si="53"/>
        <v>270</v>
      </c>
      <c r="B289" s="16">
        <f t="shared" si="48"/>
        <v>53114</v>
      </c>
      <c r="C289" s="20">
        <f t="shared" si="54"/>
        <v>168849.27293076771</v>
      </c>
      <c r="D289" s="20">
        <f t="shared" si="49"/>
        <v>2375.8148277293635</v>
      </c>
      <c r="E289" s="59">
        <f t="shared" si="55"/>
        <v>0</v>
      </c>
      <c r="F289" s="20">
        <f t="shared" si="50"/>
        <v>2375.8148277293635</v>
      </c>
      <c r="G289" s="20">
        <f t="shared" si="51"/>
        <v>1426.0376674937952</v>
      </c>
      <c r="H289" s="20">
        <f t="shared" si="56"/>
        <v>949.77716023556843</v>
      </c>
      <c r="I289" s="20">
        <f t="shared" si="52"/>
        <v>167423.23526327391</v>
      </c>
      <c r="J289" s="73"/>
      <c r="K289" s="22">
        <f t="shared" si="57"/>
        <v>198876.76473672621</v>
      </c>
      <c r="L289" s="22">
        <f t="shared" si="58"/>
        <v>442593.23875020194</v>
      </c>
    </row>
    <row r="290" spans="1:12" ht="14.25" customHeight="1" x14ac:dyDescent="0.2">
      <c r="A290" s="15">
        <f t="shared" si="53"/>
        <v>271</v>
      </c>
      <c r="B290" s="16">
        <f t="shared" si="48"/>
        <v>53144</v>
      </c>
      <c r="C290" s="20">
        <f t="shared" si="54"/>
        <v>167423.23526327391</v>
      </c>
      <c r="D290" s="20">
        <f t="shared" si="49"/>
        <v>2375.8148277293635</v>
      </c>
      <c r="E290" s="59">
        <f t="shared" si="55"/>
        <v>0</v>
      </c>
      <c r="F290" s="20">
        <f t="shared" si="50"/>
        <v>2375.8148277293635</v>
      </c>
      <c r="G290" s="20">
        <f t="shared" si="51"/>
        <v>1434.0591293734478</v>
      </c>
      <c r="H290" s="20">
        <f t="shared" si="56"/>
        <v>941.7556983559158</v>
      </c>
      <c r="I290" s="20">
        <f t="shared" si="52"/>
        <v>165989.17613390044</v>
      </c>
      <c r="J290" s="73"/>
      <c r="K290" s="22">
        <f t="shared" si="57"/>
        <v>200310.82386609967</v>
      </c>
      <c r="L290" s="22">
        <f t="shared" si="58"/>
        <v>443534.99444855785</v>
      </c>
    </row>
    <row r="291" spans="1:12" ht="14.25" customHeight="1" x14ac:dyDescent="0.2">
      <c r="A291" s="15">
        <f t="shared" si="53"/>
        <v>272</v>
      </c>
      <c r="B291" s="16">
        <f t="shared" si="48"/>
        <v>53175</v>
      </c>
      <c r="C291" s="20">
        <f t="shared" si="54"/>
        <v>165989.17613390044</v>
      </c>
      <c r="D291" s="20">
        <f t="shared" si="49"/>
        <v>2375.8148277293635</v>
      </c>
      <c r="E291" s="59">
        <f t="shared" si="55"/>
        <v>0</v>
      </c>
      <c r="F291" s="20">
        <f t="shared" si="50"/>
        <v>2375.8148277293635</v>
      </c>
      <c r="G291" s="20">
        <f t="shared" si="51"/>
        <v>1442.1257119761735</v>
      </c>
      <c r="H291" s="20">
        <f t="shared" si="56"/>
        <v>933.68911575319009</v>
      </c>
      <c r="I291" s="20">
        <f t="shared" si="52"/>
        <v>164547.05042192427</v>
      </c>
      <c r="J291" s="73"/>
      <c r="K291" s="22">
        <f t="shared" si="57"/>
        <v>201752.94957807584</v>
      </c>
      <c r="L291" s="22">
        <f t="shared" si="58"/>
        <v>444468.68356431101</v>
      </c>
    </row>
    <row r="292" spans="1:12" ht="14.25" customHeight="1" x14ac:dyDescent="0.2">
      <c r="A292" s="15">
        <f t="shared" si="53"/>
        <v>273</v>
      </c>
      <c r="B292" s="16">
        <f t="shared" si="48"/>
        <v>53206</v>
      </c>
      <c r="C292" s="20">
        <f t="shared" si="54"/>
        <v>164547.05042192427</v>
      </c>
      <c r="D292" s="20">
        <f t="shared" si="49"/>
        <v>2375.8148277293635</v>
      </c>
      <c r="E292" s="59">
        <f t="shared" si="55"/>
        <v>0</v>
      </c>
      <c r="F292" s="20">
        <f t="shared" si="50"/>
        <v>2375.8148277293635</v>
      </c>
      <c r="G292" s="20">
        <f t="shared" si="51"/>
        <v>1450.2376691060394</v>
      </c>
      <c r="H292" s="20">
        <f t="shared" si="56"/>
        <v>925.57715862332407</v>
      </c>
      <c r="I292" s="20">
        <f t="shared" si="52"/>
        <v>163096.81275281822</v>
      </c>
      <c r="J292" s="73"/>
      <c r="K292" s="22">
        <f t="shared" si="57"/>
        <v>203203.18724718189</v>
      </c>
      <c r="L292" s="22">
        <f t="shared" si="58"/>
        <v>445394.26072293433</v>
      </c>
    </row>
    <row r="293" spans="1:12" ht="14.25" customHeight="1" x14ac:dyDescent="0.2">
      <c r="A293" s="15">
        <f t="shared" si="53"/>
        <v>274</v>
      </c>
      <c r="B293" s="16">
        <f t="shared" si="48"/>
        <v>53236</v>
      </c>
      <c r="C293" s="20">
        <f t="shared" si="54"/>
        <v>163096.81275281822</v>
      </c>
      <c r="D293" s="20">
        <f t="shared" si="49"/>
        <v>2375.8148277293635</v>
      </c>
      <c r="E293" s="59">
        <f t="shared" si="55"/>
        <v>0</v>
      </c>
      <c r="F293" s="20">
        <f t="shared" si="50"/>
        <v>2375.8148277293635</v>
      </c>
      <c r="G293" s="20">
        <f t="shared" si="51"/>
        <v>1458.3952559947611</v>
      </c>
      <c r="H293" s="20">
        <f t="shared" si="56"/>
        <v>917.41957173460253</v>
      </c>
      <c r="I293" s="20">
        <f t="shared" si="52"/>
        <v>161638.41749682347</v>
      </c>
      <c r="J293" s="73"/>
      <c r="K293" s="22">
        <f t="shared" si="57"/>
        <v>204661.58250317664</v>
      </c>
      <c r="L293" s="22">
        <f t="shared" si="58"/>
        <v>446311.68029466894</v>
      </c>
    </row>
    <row r="294" spans="1:12" ht="14.25" customHeight="1" x14ac:dyDescent="0.2">
      <c r="A294" s="15">
        <f t="shared" si="53"/>
        <v>275</v>
      </c>
      <c r="B294" s="16">
        <f t="shared" si="48"/>
        <v>53267</v>
      </c>
      <c r="C294" s="20">
        <f t="shared" si="54"/>
        <v>161638.41749682347</v>
      </c>
      <c r="D294" s="20">
        <f t="shared" si="49"/>
        <v>2375.8148277293635</v>
      </c>
      <c r="E294" s="59">
        <f t="shared" si="55"/>
        <v>0</v>
      </c>
      <c r="F294" s="20">
        <f t="shared" si="50"/>
        <v>2375.8148277293635</v>
      </c>
      <c r="G294" s="20">
        <f t="shared" si="51"/>
        <v>1466.5987293097314</v>
      </c>
      <c r="H294" s="20">
        <f t="shared" si="56"/>
        <v>909.21609841963209</v>
      </c>
      <c r="I294" s="20">
        <f t="shared" si="52"/>
        <v>160171.81876751373</v>
      </c>
      <c r="J294" s="73"/>
      <c r="K294" s="22">
        <f t="shared" si="57"/>
        <v>206128.18123248639</v>
      </c>
      <c r="L294" s="22">
        <f t="shared" si="58"/>
        <v>447220.89639308857</v>
      </c>
    </row>
    <row r="295" spans="1:12" ht="14.25" customHeight="1" x14ac:dyDescent="0.2">
      <c r="A295" s="15">
        <f t="shared" si="53"/>
        <v>276</v>
      </c>
      <c r="B295" s="16">
        <f t="shared" si="48"/>
        <v>53297</v>
      </c>
      <c r="C295" s="20">
        <f t="shared" si="54"/>
        <v>160171.81876751373</v>
      </c>
      <c r="D295" s="20">
        <f t="shared" si="49"/>
        <v>2375.8148277293635</v>
      </c>
      <c r="E295" s="59">
        <f t="shared" si="55"/>
        <v>0</v>
      </c>
      <c r="F295" s="20">
        <f t="shared" si="50"/>
        <v>2375.8148277293635</v>
      </c>
      <c r="G295" s="20">
        <f t="shared" si="51"/>
        <v>1474.8483471620989</v>
      </c>
      <c r="H295" s="20">
        <f t="shared" si="56"/>
        <v>900.96648056726474</v>
      </c>
      <c r="I295" s="20">
        <f t="shared" si="52"/>
        <v>158696.97042035163</v>
      </c>
      <c r="J295" s="73"/>
      <c r="K295" s="22">
        <f t="shared" si="57"/>
        <v>207603.02957964849</v>
      </c>
      <c r="L295" s="22">
        <f t="shared" si="58"/>
        <v>448121.8628736558</v>
      </c>
    </row>
    <row r="296" spans="1:12" ht="14.25" customHeight="1" x14ac:dyDescent="0.2">
      <c r="A296" s="15">
        <f t="shared" si="53"/>
        <v>277</v>
      </c>
      <c r="B296" s="16">
        <f t="shared" si="48"/>
        <v>53328</v>
      </c>
      <c r="C296" s="20">
        <f t="shared" si="54"/>
        <v>158696.97042035163</v>
      </c>
      <c r="D296" s="20">
        <f t="shared" si="49"/>
        <v>2375.8148277293635</v>
      </c>
      <c r="E296" s="59">
        <f t="shared" si="55"/>
        <v>0</v>
      </c>
      <c r="F296" s="20">
        <f t="shared" si="50"/>
        <v>2375.8148277293635</v>
      </c>
      <c r="G296" s="20">
        <f t="shared" si="51"/>
        <v>1483.1443691148856</v>
      </c>
      <c r="H296" s="20">
        <f t="shared" si="56"/>
        <v>892.67045861447798</v>
      </c>
      <c r="I296" s="20">
        <f t="shared" si="52"/>
        <v>157213.82605123674</v>
      </c>
      <c r="J296" s="73"/>
      <c r="K296" s="22">
        <f t="shared" si="57"/>
        <v>209086.17394876337</v>
      </c>
      <c r="L296" s="22">
        <f t="shared" si="58"/>
        <v>449014.53333227028</v>
      </c>
    </row>
    <row r="297" spans="1:12" ht="14.25" customHeight="1" x14ac:dyDescent="0.2">
      <c r="A297" s="15">
        <f t="shared" si="53"/>
        <v>278</v>
      </c>
      <c r="B297" s="16">
        <f t="shared" si="48"/>
        <v>53359</v>
      </c>
      <c r="C297" s="20">
        <f t="shared" si="54"/>
        <v>157213.82605123674</v>
      </c>
      <c r="D297" s="20">
        <f t="shared" si="49"/>
        <v>2375.8148277293635</v>
      </c>
      <c r="E297" s="59">
        <f t="shared" si="55"/>
        <v>0</v>
      </c>
      <c r="F297" s="20">
        <f t="shared" si="50"/>
        <v>2375.8148277293635</v>
      </c>
      <c r="G297" s="20">
        <f t="shared" si="51"/>
        <v>1491.4870561911566</v>
      </c>
      <c r="H297" s="20">
        <f t="shared" si="56"/>
        <v>884.32777153820678</v>
      </c>
      <c r="I297" s="20">
        <f t="shared" si="52"/>
        <v>155722.33899504557</v>
      </c>
      <c r="J297" s="73"/>
      <c r="K297" s="22">
        <f t="shared" si="57"/>
        <v>210577.66100495454</v>
      </c>
      <c r="L297" s="22">
        <f t="shared" si="58"/>
        <v>449898.86110380851</v>
      </c>
    </row>
    <row r="298" spans="1:12" ht="14.25" customHeight="1" x14ac:dyDescent="0.2">
      <c r="A298" s="15">
        <f t="shared" si="53"/>
        <v>279</v>
      </c>
      <c r="B298" s="16">
        <f t="shared" si="48"/>
        <v>53387</v>
      </c>
      <c r="C298" s="20">
        <f t="shared" si="54"/>
        <v>155722.33899504557</v>
      </c>
      <c r="D298" s="20">
        <f t="shared" si="49"/>
        <v>2375.8148277293635</v>
      </c>
      <c r="E298" s="59">
        <f t="shared" si="55"/>
        <v>0</v>
      </c>
      <c r="F298" s="20">
        <f t="shared" si="50"/>
        <v>2375.8148277293635</v>
      </c>
      <c r="G298" s="20">
        <f t="shared" si="51"/>
        <v>1499.8766708822322</v>
      </c>
      <c r="H298" s="20">
        <f t="shared" si="56"/>
        <v>875.93815684713138</v>
      </c>
      <c r="I298" s="20">
        <f t="shared" si="52"/>
        <v>154222.46232416335</v>
      </c>
      <c r="J298" s="73"/>
      <c r="K298" s="22">
        <f t="shared" si="57"/>
        <v>212077.53767583676</v>
      </c>
      <c r="L298" s="22">
        <f t="shared" si="58"/>
        <v>450774.79926065565</v>
      </c>
    </row>
    <row r="299" spans="1:12" ht="14.25" customHeight="1" x14ac:dyDescent="0.2">
      <c r="A299" s="15">
        <f t="shared" si="53"/>
        <v>280</v>
      </c>
      <c r="B299" s="16">
        <f t="shared" si="48"/>
        <v>53418</v>
      </c>
      <c r="C299" s="20">
        <f t="shared" si="54"/>
        <v>154222.46232416335</v>
      </c>
      <c r="D299" s="20">
        <f t="shared" si="49"/>
        <v>2375.8148277293635</v>
      </c>
      <c r="E299" s="59">
        <f t="shared" si="55"/>
        <v>0</v>
      </c>
      <c r="F299" s="20">
        <f t="shared" si="50"/>
        <v>2375.8148277293635</v>
      </c>
      <c r="G299" s="20">
        <f t="shared" si="51"/>
        <v>1508.3134771559444</v>
      </c>
      <c r="H299" s="20">
        <f t="shared" si="56"/>
        <v>867.50135057341902</v>
      </c>
      <c r="I299" s="20">
        <f t="shared" si="52"/>
        <v>152714.1488470074</v>
      </c>
      <c r="J299" s="73"/>
      <c r="K299" s="22">
        <f t="shared" si="57"/>
        <v>213585.85115299272</v>
      </c>
      <c r="L299" s="22">
        <f t="shared" si="58"/>
        <v>451642.30061122909</v>
      </c>
    </row>
    <row r="300" spans="1:12" ht="14.25" customHeight="1" x14ac:dyDescent="0.2">
      <c r="A300" s="15">
        <f t="shared" si="53"/>
        <v>281</v>
      </c>
      <c r="B300" s="16">
        <f t="shared" si="48"/>
        <v>53448</v>
      </c>
      <c r="C300" s="20">
        <f t="shared" si="54"/>
        <v>152714.1488470074</v>
      </c>
      <c r="D300" s="20">
        <f t="shared" si="49"/>
        <v>2375.8148277293635</v>
      </c>
      <c r="E300" s="59">
        <f t="shared" si="55"/>
        <v>0</v>
      </c>
      <c r="F300" s="20">
        <f t="shared" si="50"/>
        <v>2375.8148277293635</v>
      </c>
      <c r="G300" s="20">
        <f t="shared" si="51"/>
        <v>1516.7977404649469</v>
      </c>
      <c r="H300" s="20">
        <f t="shared" si="56"/>
        <v>859.01708726441666</v>
      </c>
      <c r="I300" s="20">
        <f t="shared" si="52"/>
        <v>151197.35110654245</v>
      </c>
      <c r="J300" s="73"/>
      <c r="K300" s="22">
        <f t="shared" si="57"/>
        <v>215102.64889345766</v>
      </c>
      <c r="L300" s="22">
        <f t="shared" si="58"/>
        <v>452501.31769849348</v>
      </c>
    </row>
    <row r="301" spans="1:12" ht="14.25" customHeight="1" x14ac:dyDescent="0.2">
      <c r="A301" s="15">
        <f t="shared" si="53"/>
        <v>282</v>
      </c>
      <c r="B301" s="16">
        <f t="shared" si="48"/>
        <v>53479</v>
      </c>
      <c r="C301" s="20">
        <f t="shared" si="54"/>
        <v>151197.35110654245</v>
      </c>
      <c r="D301" s="20">
        <f t="shared" si="49"/>
        <v>2375.8148277293635</v>
      </c>
      <c r="E301" s="59">
        <f t="shared" si="55"/>
        <v>0</v>
      </c>
      <c r="F301" s="20">
        <f t="shared" si="50"/>
        <v>2375.8148277293635</v>
      </c>
      <c r="G301" s="20">
        <f t="shared" si="51"/>
        <v>1525.3297277550623</v>
      </c>
      <c r="H301" s="20">
        <f t="shared" si="56"/>
        <v>850.48509997430131</v>
      </c>
      <c r="I301" s="20">
        <f t="shared" si="52"/>
        <v>149672.02137878738</v>
      </c>
      <c r="J301" s="73"/>
      <c r="K301" s="22">
        <f t="shared" si="57"/>
        <v>216627.97862121274</v>
      </c>
      <c r="L301" s="22">
        <f t="shared" si="58"/>
        <v>453351.8027984678</v>
      </c>
    </row>
    <row r="302" spans="1:12" ht="14.25" customHeight="1" x14ac:dyDescent="0.2">
      <c r="A302" s="15">
        <f t="shared" si="53"/>
        <v>283</v>
      </c>
      <c r="B302" s="16">
        <f t="shared" si="48"/>
        <v>53509</v>
      </c>
      <c r="C302" s="20">
        <f t="shared" si="54"/>
        <v>149672.02137878738</v>
      </c>
      <c r="D302" s="20">
        <f t="shared" si="49"/>
        <v>2375.8148277293635</v>
      </c>
      <c r="E302" s="59">
        <f t="shared" si="55"/>
        <v>0</v>
      </c>
      <c r="F302" s="20">
        <f t="shared" si="50"/>
        <v>2375.8148277293635</v>
      </c>
      <c r="G302" s="20">
        <f t="shared" si="51"/>
        <v>1533.9097074736846</v>
      </c>
      <c r="H302" s="20">
        <f t="shared" si="56"/>
        <v>841.90512025567898</v>
      </c>
      <c r="I302" s="20">
        <f t="shared" si="52"/>
        <v>148138.1116713137</v>
      </c>
      <c r="J302" s="73"/>
      <c r="K302" s="22">
        <f t="shared" si="57"/>
        <v>218161.88832868641</v>
      </c>
      <c r="L302" s="22">
        <f t="shared" si="58"/>
        <v>454193.70791872346</v>
      </c>
    </row>
    <row r="303" spans="1:12" ht="14.25" customHeight="1" x14ac:dyDescent="0.2">
      <c r="A303" s="15">
        <f t="shared" si="53"/>
        <v>284</v>
      </c>
      <c r="B303" s="16">
        <f t="shared" si="48"/>
        <v>53540</v>
      </c>
      <c r="C303" s="20">
        <f t="shared" si="54"/>
        <v>148138.1116713137</v>
      </c>
      <c r="D303" s="20">
        <f t="shared" si="49"/>
        <v>2375.8148277293635</v>
      </c>
      <c r="E303" s="59">
        <f t="shared" si="55"/>
        <v>0</v>
      </c>
      <c r="F303" s="20">
        <f t="shared" si="50"/>
        <v>2375.8148277293635</v>
      </c>
      <c r="G303" s="20">
        <f t="shared" si="51"/>
        <v>1542.537949578224</v>
      </c>
      <c r="H303" s="20">
        <f t="shared" si="56"/>
        <v>833.27687815113961</v>
      </c>
      <c r="I303" s="20">
        <f t="shared" si="52"/>
        <v>146595.57372173548</v>
      </c>
      <c r="J303" s="73"/>
      <c r="K303" s="22">
        <f t="shared" si="57"/>
        <v>219704.42627826464</v>
      </c>
      <c r="L303" s="22">
        <f t="shared" si="58"/>
        <v>455026.98479687457</v>
      </c>
    </row>
    <row r="304" spans="1:12" ht="14.25" customHeight="1" x14ac:dyDescent="0.2">
      <c r="A304" s="15">
        <f t="shared" si="53"/>
        <v>285</v>
      </c>
      <c r="B304" s="16">
        <f t="shared" si="48"/>
        <v>53571</v>
      </c>
      <c r="C304" s="20">
        <f t="shared" si="54"/>
        <v>146595.57372173548</v>
      </c>
      <c r="D304" s="20">
        <f t="shared" si="49"/>
        <v>2375.8148277293635</v>
      </c>
      <c r="E304" s="59">
        <f t="shared" si="55"/>
        <v>0</v>
      </c>
      <c r="F304" s="20">
        <f t="shared" si="50"/>
        <v>2375.8148277293635</v>
      </c>
      <c r="G304" s="20">
        <f t="shared" si="51"/>
        <v>1551.2147255446016</v>
      </c>
      <c r="H304" s="20">
        <f t="shared" si="56"/>
        <v>824.60010218476202</v>
      </c>
      <c r="I304" s="20">
        <f t="shared" si="52"/>
        <v>145044.35899619089</v>
      </c>
      <c r="J304" s="73"/>
      <c r="K304" s="22">
        <f t="shared" si="57"/>
        <v>221255.64100380923</v>
      </c>
      <c r="L304" s="22">
        <f t="shared" si="58"/>
        <v>455851.58489905932</v>
      </c>
    </row>
    <row r="305" spans="1:12" ht="14.25" customHeight="1" x14ac:dyDescent="0.2">
      <c r="A305" s="15">
        <f t="shared" si="53"/>
        <v>286</v>
      </c>
      <c r="B305" s="16">
        <f t="shared" si="48"/>
        <v>53601</v>
      </c>
      <c r="C305" s="20">
        <f t="shared" si="54"/>
        <v>145044.35899619089</v>
      </c>
      <c r="D305" s="20">
        <f t="shared" si="49"/>
        <v>2375.8148277293635</v>
      </c>
      <c r="E305" s="59">
        <f t="shared" si="55"/>
        <v>0</v>
      </c>
      <c r="F305" s="20">
        <f t="shared" si="50"/>
        <v>2375.8148277293635</v>
      </c>
      <c r="G305" s="20">
        <f t="shared" si="51"/>
        <v>1559.9403083757898</v>
      </c>
      <c r="H305" s="20">
        <f t="shared" si="56"/>
        <v>815.87451935357376</v>
      </c>
      <c r="I305" s="20">
        <f t="shared" si="52"/>
        <v>143484.41868781511</v>
      </c>
      <c r="J305" s="73"/>
      <c r="K305" s="22">
        <f t="shared" si="57"/>
        <v>222815.58131218501</v>
      </c>
      <c r="L305" s="22">
        <f t="shared" si="58"/>
        <v>456667.45941841288</v>
      </c>
    </row>
    <row r="306" spans="1:12" ht="14.25" customHeight="1" x14ac:dyDescent="0.2">
      <c r="A306" s="15">
        <f t="shared" si="53"/>
        <v>287</v>
      </c>
      <c r="B306" s="16">
        <f t="shared" si="48"/>
        <v>53632</v>
      </c>
      <c r="C306" s="20">
        <f t="shared" si="54"/>
        <v>143484.41868781511</v>
      </c>
      <c r="D306" s="20">
        <f t="shared" si="49"/>
        <v>2375.8148277293635</v>
      </c>
      <c r="E306" s="59">
        <f t="shared" si="55"/>
        <v>0</v>
      </c>
      <c r="F306" s="20">
        <f t="shared" si="50"/>
        <v>2375.8148277293635</v>
      </c>
      <c r="G306" s="20">
        <f t="shared" si="51"/>
        <v>1568.7149726104035</v>
      </c>
      <c r="H306" s="20">
        <f t="shared" si="56"/>
        <v>807.09985511896002</v>
      </c>
      <c r="I306" s="20">
        <f t="shared" si="52"/>
        <v>141915.7037152047</v>
      </c>
      <c r="J306" s="73"/>
      <c r="K306" s="22">
        <f t="shared" si="57"/>
        <v>224384.29628479542</v>
      </c>
      <c r="L306" s="22">
        <f t="shared" si="58"/>
        <v>457474.55927353184</v>
      </c>
    </row>
    <row r="307" spans="1:12" ht="14.25" customHeight="1" x14ac:dyDescent="0.2">
      <c r="A307" s="15">
        <f t="shared" si="53"/>
        <v>288</v>
      </c>
      <c r="B307" s="16">
        <f t="shared" si="48"/>
        <v>53662</v>
      </c>
      <c r="C307" s="20">
        <f t="shared" si="54"/>
        <v>141915.7037152047</v>
      </c>
      <c r="D307" s="20">
        <f t="shared" si="49"/>
        <v>2375.8148277293635</v>
      </c>
      <c r="E307" s="59">
        <f t="shared" si="55"/>
        <v>0</v>
      </c>
      <c r="F307" s="20">
        <f t="shared" si="50"/>
        <v>2375.8148277293635</v>
      </c>
      <c r="G307" s="20">
        <f t="shared" si="51"/>
        <v>1577.5389943313371</v>
      </c>
      <c r="H307" s="20">
        <f t="shared" si="56"/>
        <v>798.27583339802641</v>
      </c>
      <c r="I307" s="20">
        <f t="shared" si="52"/>
        <v>140338.16472087335</v>
      </c>
      <c r="J307" s="73"/>
      <c r="K307" s="22">
        <f t="shared" si="57"/>
        <v>225961.83527912677</v>
      </c>
      <c r="L307" s="22">
        <f t="shared" si="58"/>
        <v>458272.83510692988</v>
      </c>
    </row>
    <row r="308" spans="1:12" ht="14.25" customHeight="1" x14ac:dyDescent="0.2">
      <c r="A308" s="15">
        <f t="shared" si="53"/>
        <v>289</v>
      </c>
      <c r="B308" s="16">
        <f t="shared" si="48"/>
        <v>53693</v>
      </c>
      <c r="C308" s="20">
        <f t="shared" si="54"/>
        <v>140338.16472087335</v>
      </c>
      <c r="D308" s="20">
        <f t="shared" si="49"/>
        <v>2375.8148277293635</v>
      </c>
      <c r="E308" s="59">
        <f t="shared" si="55"/>
        <v>0</v>
      </c>
      <c r="F308" s="20">
        <f t="shared" si="50"/>
        <v>2375.8148277293635</v>
      </c>
      <c r="G308" s="20">
        <f t="shared" si="51"/>
        <v>1586.4126511744507</v>
      </c>
      <c r="H308" s="20">
        <f t="shared" si="56"/>
        <v>789.40217655491267</v>
      </c>
      <c r="I308" s="20">
        <f t="shared" si="52"/>
        <v>138751.75206969891</v>
      </c>
      <c r="J308" s="73"/>
      <c r="K308" s="22">
        <f t="shared" si="57"/>
        <v>227548.24793030121</v>
      </c>
      <c r="L308" s="22">
        <f t="shared" si="58"/>
        <v>459062.23728348478</v>
      </c>
    </row>
    <row r="309" spans="1:12" ht="14.25" customHeight="1" x14ac:dyDescent="0.2">
      <c r="A309" s="15">
        <f t="shared" si="53"/>
        <v>290</v>
      </c>
      <c r="B309" s="16">
        <f t="shared" si="48"/>
        <v>53724</v>
      </c>
      <c r="C309" s="20">
        <f t="shared" si="54"/>
        <v>138751.75206969891</v>
      </c>
      <c r="D309" s="20">
        <f t="shared" si="49"/>
        <v>2375.8148277293635</v>
      </c>
      <c r="E309" s="59">
        <f t="shared" si="55"/>
        <v>0</v>
      </c>
      <c r="F309" s="20">
        <f t="shared" si="50"/>
        <v>2375.8148277293635</v>
      </c>
      <c r="G309" s="20">
        <f t="shared" si="51"/>
        <v>1595.3362223373069</v>
      </c>
      <c r="H309" s="20">
        <f t="shared" si="56"/>
        <v>780.47860539205647</v>
      </c>
      <c r="I309" s="20">
        <f t="shared" si="52"/>
        <v>137156.41584736161</v>
      </c>
      <c r="J309" s="73"/>
      <c r="K309" s="22">
        <f t="shared" si="57"/>
        <v>229143.5841526385</v>
      </c>
      <c r="L309" s="22">
        <f t="shared" si="58"/>
        <v>459842.71588887682</v>
      </c>
    </row>
    <row r="310" spans="1:12" ht="14.25" customHeight="1" x14ac:dyDescent="0.2">
      <c r="A310" s="15">
        <f t="shared" si="53"/>
        <v>291</v>
      </c>
      <c r="B310" s="16">
        <f t="shared" si="48"/>
        <v>53752</v>
      </c>
      <c r="C310" s="20">
        <f t="shared" si="54"/>
        <v>137156.41584736161</v>
      </c>
      <c r="D310" s="20">
        <f t="shared" si="49"/>
        <v>2375.8148277293635</v>
      </c>
      <c r="E310" s="59">
        <f t="shared" si="55"/>
        <v>0</v>
      </c>
      <c r="F310" s="20">
        <f t="shared" si="50"/>
        <v>2375.8148277293635</v>
      </c>
      <c r="G310" s="20">
        <f t="shared" si="51"/>
        <v>1604.3099885879542</v>
      </c>
      <c r="H310" s="20">
        <f t="shared" si="56"/>
        <v>771.50483914140921</v>
      </c>
      <c r="I310" s="20">
        <f t="shared" si="52"/>
        <v>135552.10585877366</v>
      </c>
      <c r="J310" s="73"/>
      <c r="K310" s="22">
        <f t="shared" si="57"/>
        <v>230747.89414122645</v>
      </c>
      <c r="L310" s="22">
        <f t="shared" si="58"/>
        <v>460614.2207280182</v>
      </c>
    </row>
    <row r="311" spans="1:12" ht="14.25" customHeight="1" x14ac:dyDescent="0.2">
      <c r="A311" s="15">
        <f t="shared" si="53"/>
        <v>292</v>
      </c>
      <c r="B311" s="16">
        <f t="shared" si="48"/>
        <v>53783</v>
      </c>
      <c r="C311" s="20">
        <f t="shared" si="54"/>
        <v>135552.10585877366</v>
      </c>
      <c r="D311" s="20">
        <f t="shared" si="49"/>
        <v>2375.8148277293635</v>
      </c>
      <c r="E311" s="59">
        <f t="shared" si="55"/>
        <v>0</v>
      </c>
      <c r="F311" s="20">
        <f t="shared" si="50"/>
        <v>2375.8148277293635</v>
      </c>
      <c r="G311" s="20">
        <f t="shared" si="51"/>
        <v>1613.3342322737617</v>
      </c>
      <c r="H311" s="20">
        <f t="shared" si="56"/>
        <v>762.48059545560193</v>
      </c>
      <c r="I311" s="20">
        <f t="shared" si="52"/>
        <v>133938.77162649989</v>
      </c>
      <c r="J311" s="73"/>
      <c r="K311" s="22">
        <f t="shared" si="57"/>
        <v>232361.22837350023</v>
      </c>
      <c r="L311" s="22">
        <f t="shared" si="58"/>
        <v>461376.70132347383</v>
      </c>
    </row>
    <row r="312" spans="1:12" ht="14.25" customHeight="1" x14ac:dyDescent="0.2">
      <c r="A312" s="15">
        <f t="shared" si="53"/>
        <v>293</v>
      </c>
      <c r="B312" s="16">
        <f t="shared" si="48"/>
        <v>53813</v>
      </c>
      <c r="C312" s="20">
        <f t="shared" si="54"/>
        <v>133938.77162649989</v>
      </c>
      <c r="D312" s="20">
        <f t="shared" si="49"/>
        <v>2375.8148277293635</v>
      </c>
      <c r="E312" s="59">
        <f t="shared" si="55"/>
        <v>0</v>
      </c>
      <c r="F312" s="20">
        <f t="shared" si="50"/>
        <v>2375.8148277293635</v>
      </c>
      <c r="G312" s="20">
        <f t="shared" si="51"/>
        <v>1622.4092373303015</v>
      </c>
      <c r="H312" s="20">
        <f t="shared" si="56"/>
        <v>753.40559039906191</v>
      </c>
      <c r="I312" s="20">
        <f t="shared" si="52"/>
        <v>132316.36238916958</v>
      </c>
      <c r="J312" s="73"/>
      <c r="K312" s="22">
        <f t="shared" si="57"/>
        <v>233983.63761083054</v>
      </c>
      <c r="L312" s="22">
        <f t="shared" si="58"/>
        <v>462130.10691387288</v>
      </c>
    </row>
    <row r="313" spans="1:12" ht="14.25" customHeight="1" x14ac:dyDescent="0.2">
      <c r="A313" s="15">
        <f t="shared" si="53"/>
        <v>294</v>
      </c>
      <c r="B313" s="16">
        <f t="shared" si="48"/>
        <v>53844</v>
      </c>
      <c r="C313" s="20">
        <f t="shared" si="54"/>
        <v>132316.36238916958</v>
      </c>
      <c r="D313" s="20">
        <f t="shared" si="49"/>
        <v>2375.8148277293635</v>
      </c>
      <c r="E313" s="59">
        <f t="shared" si="55"/>
        <v>0</v>
      </c>
      <c r="F313" s="20">
        <f t="shared" si="50"/>
        <v>2375.8148277293635</v>
      </c>
      <c r="G313" s="20">
        <f t="shared" si="51"/>
        <v>1631.5352892902847</v>
      </c>
      <c r="H313" s="20">
        <f t="shared" si="56"/>
        <v>744.27953843907892</v>
      </c>
      <c r="I313" s="20">
        <f t="shared" si="52"/>
        <v>130684.82709987929</v>
      </c>
      <c r="J313" s="73"/>
      <c r="K313" s="22">
        <f t="shared" si="57"/>
        <v>235615.17290012082</v>
      </c>
      <c r="L313" s="22">
        <f t="shared" si="58"/>
        <v>462874.38645231194</v>
      </c>
    </row>
    <row r="314" spans="1:12" ht="14.25" customHeight="1" x14ac:dyDescent="0.2">
      <c r="A314" s="15">
        <f t="shared" si="53"/>
        <v>295</v>
      </c>
      <c r="B314" s="16">
        <f t="shared" si="48"/>
        <v>53874</v>
      </c>
      <c r="C314" s="20">
        <f t="shared" si="54"/>
        <v>130684.82709987929</v>
      </c>
      <c r="D314" s="20">
        <f t="shared" si="49"/>
        <v>2375.8148277293635</v>
      </c>
      <c r="E314" s="59">
        <f t="shared" si="55"/>
        <v>0</v>
      </c>
      <c r="F314" s="20">
        <f t="shared" si="50"/>
        <v>2375.8148277293635</v>
      </c>
      <c r="G314" s="20">
        <f t="shared" si="51"/>
        <v>1640.7126752925424</v>
      </c>
      <c r="H314" s="20">
        <f t="shared" si="56"/>
        <v>735.10215243682103</v>
      </c>
      <c r="I314" s="20">
        <f t="shared" si="52"/>
        <v>129044.11442458675</v>
      </c>
      <c r="J314" s="73"/>
      <c r="K314" s="22">
        <f t="shared" si="57"/>
        <v>237255.88557541335</v>
      </c>
      <c r="L314" s="22">
        <f t="shared" si="58"/>
        <v>463609.48860474874</v>
      </c>
    </row>
    <row r="315" spans="1:12" ht="14.25" customHeight="1" x14ac:dyDescent="0.2">
      <c r="A315" s="15">
        <f t="shared" si="53"/>
        <v>296</v>
      </c>
      <c r="B315" s="16">
        <f t="shared" si="48"/>
        <v>53905</v>
      </c>
      <c r="C315" s="20">
        <f t="shared" si="54"/>
        <v>129044.11442458675</v>
      </c>
      <c r="D315" s="20">
        <f t="shared" si="49"/>
        <v>2375.8148277293635</v>
      </c>
      <c r="E315" s="59">
        <f t="shared" si="55"/>
        <v>0</v>
      </c>
      <c r="F315" s="20">
        <f t="shared" si="50"/>
        <v>2375.8148277293635</v>
      </c>
      <c r="G315" s="20">
        <f t="shared" si="51"/>
        <v>1649.9416840910631</v>
      </c>
      <c r="H315" s="20">
        <f t="shared" si="56"/>
        <v>725.87314363830046</v>
      </c>
      <c r="I315" s="20">
        <f t="shared" si="52"/>
        <v>127394.17274049569</v>
      </c>
      <c r="J315" s="73"/>
      <c r="K315" s="22">
        <f t="shared" si="57"/>
        <v>238905.82725950441</v>
      </c>
      <c r="L315" s="22">
        <f t="shared" si="58"/>
        <v>464335.36174838705</v>
      </c>
    </row>
    <row r="316" spans="1:12" ht="14.25" customHeight="1" x14ac:dyDescent="0.2">
      <c r="A316" s="15">
        <f t="shared" si="53"/>
        <v>297</v>
      </c>
      <c r="B316" s="16">
        <f t="shared" si="48"/>
        <v>53936</v>
      </c>
      <c r="C316" s="20">
        <f t="shared" si="54"/>
        <v>127394.17274049569</v>
      </c>
      <c r="D316" s="20">
        <f t="shared" si="49"/>
        <v>2375.8148277293635</v>
      </c>
      <c r="E316" s="59">
        <f t="shared" si="55"/>
        <v>0</v>
      </c>
      <c r="F316" s="20">
        <f t="shared" si="50"/>
        <v>2375.8148277293635</v>
      </c>
      <c r="G316" s="20">
        <f t="shared" si="51"/>
        <v>1659.2226060640751</v>
      </c>
      <c r="H316" s="20">
        <f t="shared" si="56"/>
        <v>716.59222166528832</v>
      </c>
      <c r="I316" s="20">
        <f t="shared" si="52"/>
        <v>125734.95013443162</v>
      </c>
      <c r="J316" s="73"/>
      <c r="K316" s="22">
        <f t="shared" si="57"/>
        <v>240565.04986556849</v>
      </c>
      <c r="L316" s="22">
        <f t="shared" si="58"/>
        <v>465051.95397005236</v>
      </c>
    </row>
    <row r="317" spans="1:12" ht="14.25" customHeight="1" x14ac:dyDescent="0.2">
      <c r="A317" s="15">
        <f t="shared" si="53"/>
        <v>298</v>
      </c>
      <c r="B317" s="16">
        <f t="shared" si="48"/>
        <v>53966</v>
      </c>
      <c r="C317" s="20">
        <f t="shared" si="54"/>
        <v>125734.95013443162</v>
      </c>
      <c r="D317" s="20">
        <f t="shared" si="49"/>
        <v>2375.8148277293635</v>
      </c>
      <c r="E317" s="59">
        <f t="shared" si="55"/>
        <v>0</v>
      </c>
      <c r="F317" s="20">
        <f t="shared" si="50"/>
        <v>2375.8148277293635</v>
      </c>
      <c r="G317" s="20">
        <f t="shared" si="51"/>
        <v>1668.5557332231856</v>
      </c>
      <c r="H317" s="20">
        <f t="shared" si="56"/>
        <v>707.25909450617792</v>
      </c>
      <c r="I317" s="20">
        <f t="shared" si="52"/>
        <v>124066.39440120844</v>
      </c>
      <c r="J317" s="73"/>
      <c r="K317" s="22">
        <f t="shared" si="57"/>
        <v>242233.60559879168</v>
      </c>
      <c r="L317" s="22">
        <f t="shared" si="58"/>
        <v>465759.21306455851</v>
      </c>
    </row>
    <row r="318" spans="1:12" ht="14.25" customHeight="1" x14ac:dyDescent="0.2">
      <c r="A318" s="15">
        <f t="shared" si="53"/>
        <v>299</v>
      </c>
      <c r="B318" s="16">
        <f t="shared" si="48"/>
        <v>53997</v>
      </c>
      <c r="C318" s="20">
        <f t="shared" si="54"/>
        <v>124066.39440120844</v>
      </c>
      <c r="D318" s="20">
        <f t="shared" si="49"/>
        <v>2375.8148277293635</v>
      </c>
      <c r="E318" s="59">
        <f t="shared" si="55"/>
        <v>0</v>
      </c>
      <c r="F318" s="20">
        <f t="shared" si="50"/>
        <v>2375.8148277293635</v>
      </c>
      <c r="G318" s="20">
        <f t="shared" si="51"/>
        <v>1677.941359222566</v>
      </c>
      <c r="H318" s="20">
        <f t="shared" si="56"/>
        <v>697.87346850679751</v>
      </c>
      <c r="I318" s="20">
        <f t="shared" si="52"/>
        <v>122388.45304198588</v>
      </c>
      <c r="J318" s="73"/>
      <c r="K318" s="22">
        <f t="shared" si="57"/>
        <v>243911.54695801425</v>
      </c>
      <c r="L318" s="22">
        <f t="shared" si="58"/>
        <v>466457.0865330653</v>
      </c>
    </row>
    <row r="319" spans="1:12" ht="14.25" customHeight="1" x14ac:dyDescent="0.2">
      <c r="A319" s="15">
        <f t="shared" si="53"/>
        <v>300</v>
      </c>
      <c r="B319" s="16">
        <f t="shared" si="48"/>
        <v>54027</v>
      </c>
      <c r="C319" s="20">
        <f t="shared" si="54"/>
        <v>122388.45304198588</v>
      </c>
      <c r="D319" s="20">
        <f t="shared" si="49"/>
        <v>2375.8148277293635</v>
      </c>
      <c r="E319" s="59">
        <f t="shared" si="55"/>
        <v>0</v>
      </c>
      <c r="F319" s="20">
        <f t="shared" si="50"/>
        <v>2375.8148277293635</v>
      </c>
      <c r="G319" s="20">
        <f t="shared" si="51"/>
        <v>1687.3797793681929</v>
      </c>
      <c r="H319" s="20">
        <f t="shared" si="56"/>
        <v>688.43504836117063</v>
      </c>
      <c r="I319" s="20">
        <f t="shared" si="52"/>
        <v>120701.07326261769</v>
      </c>
      <c r="J319" s="73"/>
      <c r="K319" s="22">
        <f t="shared" si="57"/>
        <v>245598.92673738246</v>
      </c>
      <c r="L319" s="22">
        <f t="shared" si="58"/>
        <v>467145.5215814265</v>
      </c>
    </row>
    <row r="320" spans="1:12" ht="14.25" customHeight="1" x14ac:dyDescent="0.2">
      <c r="A320" s="15">
        <f t="shared" si="53"/>
        <v>301</v>
      </c>
      <c r="B320" s="16">
        <f t="shared" si="48"/>
        <v>54058</v>
      </c>
      <c r="C320" s="20">
        <f t="shared" si="54"/>
        <v>120701.07326261769</v>
      </c>
      <c r="D320" s="20">
        <f t="shared" si="49"/>
        <v>2375.8148277293635</v>
      </c>
      <c r="E320" s="59">
        <f t="shared" si="55"/>
        <v>0</v>
      </c>
      <c r="F320" s="20">
        <f t="shared" si="50"/>
        <v>2375.8148277293635</v>
      </c>
      <c r="G320" s="20">
        <f t="shared" si="51"/>
        <v>1696.8712906271389</v>
      </c>
      <c r="H320" s="20">
        <f t="shared" si="56"/>
        <v>678.94353710222458</v>
      </c>
      <c r="I320" s="20">
        <f t="shared" si="52"/>
        <v>119004.20197199055</v>
      </c>
      <c r="J320" s="73"/>
      <c r="K320" s="22">
        <f t="shared" si="57"/>
        <v>247295.79802800959</v>
      </c>
      <c r="L320" s="22">
        <f t="shared" si="58"/>
        <v>467824.46511852869</v>
      </c>
    </row>
    <row r="321" spans="1:12" ht="14.25" customHeight="1" x14ac:dyDescent="0.2">
      <c r="A321" s="15">
        <f t="shared" si="53"/>
        <v>302</v>
      </c>
      <c r="B321" s="16">
        <f t="shared" si="48"/>
        <v>54089</v>
      </c>
      <c r="C321" s="20">
        <f t="shared" si="54"/>
        <v>119004.20197199055</v>
      </c>
      <c r="D321" s="20">
        <f t="shared" si="49"/>
        <v>2375.8148277293635</v>
      </c>
      <c r="E321" s="59">
        <f t="shared" si="55"/>
        <v>0</v>
      </c>
      <c r="F321" s="20">
        <f t="shared" si="50"/>
        <v>2375.8148277293635</v>
      </c>
      <c r="G321" s="20">
        <f t="shared" si="51"/>
        <v>1706.4161916369167</v>
      </c>
      <c r="H321" s="20">
        <f t="shared" si="56"/>
        <v>669.39863609244696</v>
      </c>
      <c r="I321" s="20">
        <f t="shared" si="52"/>
        <v>117297.78578035363</v>
      </c>
      <c r="J321" s="73"/>
      <c r="K321" s="22">
        <f t="shared" si="57"/>
        <v>249002.2142196465</v>
      </c>
      <c r="L321" s="22">
        <f t="shared" si="58"/>
        <v>468493.86375462112</v>
      </c>
    </row>
    <row r="322" spans="1:12" ht="14.25" customHeight="1" x14ac:dyDescent="0.2">
      <c r="A322" s="15">
        <f t="shared" si="53"/>
        <v>303</v>
      </c>
      <c r="B322" s="16">
        <f t="shared" si="48"/>
        <v>54118</v>
      </c>
      <c r="C322" s="20">
        <f t="shared" si="54"/>
        <v>117297.78578035363</v>
      </c>
      <c r="D322" s="20">
        <f t="shared" si="49"/>
        <v>2375.8148277293635</v>
      </c>
      <c r="E322" s="59">
        <f t="shared" si="55"/>
        <v>0</v>
      </c>
      <c r="F322" s="20">
        <f t="shared" si="50"/>
        <v>2375.8148277293635</v>
      </c>
      <c r="G322" s="20">
        <f t="shared" si="51"/>
        <v>1716.0147827148744</v>
      </c>
      <c r="H322" s="20">
        <f t="shared" si="56"/>
        <v>659.80004501448923</v>
      </c>
      <c r="I322" s="20">
        <f t="shared" si="52"/>
        <v>115581.77099763876</v>
      </c>
      <c r="J322" s="73"/>
      <c r="K322" s="22">
        <f t="shared" si="57"/>
        <v>250718.22900236136</v>
      </c>
      <c r="L322" s="22">
        <f t="shared" si="58"/>
        <v>469153.6637996356</v>
      </c>
    </row>
    <row r="323" spans="1:12" ht="14.25" customHeight="1" x14ac:dyDescent="0.2">
      <c r="A323" s="15">
        <f t="shared" si="53"/>
        <v>304</v>
      </c>
      <c r="B323" s="16">
        <f t="shared" si="48"/>
        <v>54149</v>
      </c>
      <c r="C323" s="20">
        <f t="shared" si="54"/>
        <v>115581.77099763876</v>
      </c>
      <c r="D323" s="20">
        <f t="shared" si="49"/>
        <v>2375.8148277293635</v>
      </c>
      <c r="E323" s="59">
        <f t="shared" si="55"/>
        <v>0</v>
      </c>
      <c r="F323" s="20">
        <f t="shared" si="50"/>
        <v>2375.8148277293635</v>
      </c>
      <c r="G323" s="20">
        <f t="shared" si="51"/>
        <v>1725.6673658676455</v>
      </c>
      <c r="H323" s="20">
        <f t="shared" si="56"/>
        <v>650.14746186171806</v>
      </c>
      <c r="I323" s="20">
        <f t="shared" si="52"/>
        <v>113856.10363177111</v>
      </c>
      <c r="J323" s="73"/>
      <c r="K323" s="22">
        <f t="shared" si="57"/>
        <v>252443.89636822901</v>
      </c>
      <c r="L323" s="22">
        <f t="shared" si="58"/>
        <v>469803.81126149732</v>
      </c>
    </row>
    <row r="324" spans="1:12" ht="14.25" customHeight="1" x14ac:dyDescent="0.2">
      <c r="A324" s="15">
        <f t="shared" si="53"/>
        <v>305</v>
      </c>
      <c r="B324" s="16">
        <f t="shared" si="48"/>
        <v>54179</v>
      </c>
      <c r="C324" s="20">
        <f t="shared" si="54"/>
        <v>113856.10363177111</v>
      </c>
      <c r="D324" s="20">
        <f t="shared" si="49"/>
        <v>2375.8148277293635</v>
      </c>
      <c r="E324" s="59">
        <f t="shared" si="55"/>
        <v>0</v>
      </c>
      <c r="F324" s="20">
        <f t="shared" si="50"/>
        <v>2375.8148277293635</v>
      </c>
      <c r="G324" s="20">
        <f t="shared" si="51"/>
        <v>1735.374244800651</v>
      </c>
      <c r="H324" s="20">
        <f t="shared" si="56"/>
        <v>640.44058292871262</v>
      </c>
      <c r="I324" s="20">
        <f t="shared" si="52"/>
        <v>112120.72938697046</v>
      </c>
      <c r="J324" s="73"/>
      <c r="K324" s="22">
        <f t="shared" si="57"/>
        <v>254179.27061302966</v>
      </c>
      <c r="L324" s="22">
        <f t="shared" si="58"/>
        <v>470444.25184442603</v>
      </c>
    </row>
    <row r="325" spans="1:12" ht="14.25" customHeight="1" x14ac:dyDescent="0.2">
      <c r="A325" s="15">
        <f t="shared" si="53"/>
        <v>306</v>
      </c>
      <c r="B325" s="16">
        <f t="shared" si="48"/>
        <v>54210</v>
      </c>
      <c r="C325" s="20">
        <f t="shared" si="54"/>
        <v>112120.72938697046</v>
      </c>
      <c r="D325" s="20">
        <f t="shared" si="49"/>
        <v>2375.8148277293635</v>
      </c>
      <c r="E325" s="59">
        <f t="shared" si="55"/>
        <v>0</v>
      </c>
      <c r="F325" s="20">
        <f t="shared" si="50"/>
        <v>2375.8148277293635</v>
      </c>
      <c r="G325" s="20">
        <f t="shared" si="51"/>
        <v>1745.1357249276548</v>
      </c>
      <c r="H325" s="20">
        <f t="shared" si="56"/>
        <v>630.67910280170884</v>
      </c>
      <c r="I325" s="20">
        <f t="shared" si="52"/>
        <v>110375.59366204281</v>
      </c>
      <c r="J325" s="73"/>
      <c r="K325" s="22">
        <f t="shared" si="57"/>
        <v>255924.40633795731</v>
      </c>
      <c r="L325" s="22">
        <f t="shared" si="58"/>
        <v>471074.93094722775</v>
      </c>
    </row>
    <row r="326" spans="1:12" ht="14.25" customHeight="1" x14ac:dyDescent="0.2">
      <c r="A326" s="15">
        <f t="shared" si="53"/>
        <v>307</v>
      </c>
      <c r="B326" s="16">
        <f t="shared" si="48"/>
        <v>54240</v>
      </c>
      <c r="C326" s="20">
        <f t="shared" si="54"/>
        <v>110375.59366204281</v>
      </c>
      <c r="D326" s="20">
        <f t="shared" si="49"/>
        <v>2375.8148277293635</v>
      </c>
      <c r="E326" s="59">
        <f t="shared" si="55"/>
        <v>0</v>
      </c>
      <c r="F326" s="20">
        <f t="shared" si="50"/>
        <v>2375.8148277293635</v>
      </c>
      <c r="G326" s="20">
        <f t="shared" si="51"/>
        <v>1754.9521133803728</v>
      </c>
      <c r="H326" s="20">
        <f t="shared" si="56"/>
        <v>620.86271434899083</v>
      </c>
      <c r="I326" s="20">
        <f t="shared" si="52"/>
        <v>108620.64154866243</v>
      </c>
      <c r="J326" s="73"/>
      <c r="K326" s="22">
        <f t="shared" si="57"/>
        <v>257679.35845133767</v>
      </c>
      <c r="L326" s="22">
        <f t="shared" si="58"/>
        <v>471695.79366157675</v>
      </c>
    </row>
    <row r="327" spans="1:12" ht="14.25" customHeight="1" x14ac:dyDescent="0.2">
      <c r="A327" s="15">
        <f t="shared" si="53"/>
        <v>308</v>
      </c>
      <c r="B327" s="16">
        <f t="shared" si="48"/>
        <v>54271</v>
      </c>
      <c r="C327" s="20">
        <f t="shared" si="54"/>
        <v>108620.64154866243</v>
      </c>
      <c r="D327" s="20">
        <f t="shared" si="49"/>
        <v>2375.8148277293635</v>
      </c>
      <c r="E327" s="59">
        <f t="shared" si="55"/>
        <v>0</v>
      </c>
      <c r="F327" s="20">
        <f t="shared" si="50"/>
        <v>2375.8148277293635</v>
      </c>
      <c r="G327" s="20">
        <f t="shared" si="51"/>
        <v>1764.8237190181371</v>
      </c>
      <c r="H327" s="20">
        <f t="shared" si="56"/>
        <v>610.99110871122627</v>
      </c>
      <c r="I327" s="20">
        <f t="shared" si="52"/>
        <v>106855.81782964429</v>
      </c>
      <c r="J327" s="73"/>
      <c r="K327" s="22">
        <f t="shared" si="57"/>
        <v>259444.18217035581</v>
      </c>
      <c r="L327" s="22">
        <f t="shared" si="58"/>
        <v>472306.78477028798</v>
      </c>
    </row>
    <row r="328" spans="1:12" ht="14.25" customHeight="1" x14ac:dyDescent="0.2">
      <c r="A328" s="15">
        <f t="shared" si="53"/>
        <v>309</v>
      </c>
      <c r="B328" s="16">
        <f t="shared" si="48"/>
        <v>54302</v>
      </c>
      <c r="C328" s="20">
        <f t="shared" si="54"/>
        <v>106855.81782964429</v>
      </c>
      <c r="D328" s="20">
        <f t="shared" si="49"/>
        <v>2375.8148277293635</v>
      </c>
      <c r="E328" s="59">
        <f t="shared" si="55"/>
        <v>0</v>
      </c>
      <c r="F328" s="20">
        <f t="shared" si="50"/>
        <v>2375.8148277293635</v>
      </c>
      <c r="G328" s="20">
        <f t="shared" si="51"/>
        <v>1774.7508524376144</v>
      </c>
      <c r="H328" s="20">
        <f t="shared" si="56"/>
        <v>601.06397529174922</v>
      </c>
      <c r="I328" s="20">
        <f t="shared" si="52"/>
        <v>105081.06697720668</v>
      </c>
      <c r="J328" s="73"/>
      <c r="K328" s="22">
        <f t="shared" si="57"/>
        <v>261218.93302279341</v>
      </c>
      <c r="L328" s="22">
        <f t="shared" si="58"/>
        <v>472907.84874557971</v>
      </c>
    </row>
    <row r="329" spans="1:12" ht="14.25" customHeight="1" x14ac:dyDescent="0.2">
      <c r="A329" s="15">
        <f t="shared" si="53"/>
        <v>310</v>
      </c>
      <c r="B329" s="16">
        <f t="shared" si="48"/>
        <v>54332</v>
      </c>
      <c r="C329" s="20">
        <f t="shared" si="54"/>
        <v>105081.06697720668</v>
      </c>
      <c r="D329" s="20">
        <f t="shared" si="49"/>
        <v>2375.8148277293635</v>
      </c>
      <c r="E329" s="59">
        <f t="shared" si="55"/>
        <v>0</v>
      </c>
      <c r="F329" s="20">
        <f t="shared" si="50"/>
        <v>2375.8148277293635</v>
      </c>
      <c r="G329" s="20">
        <f t="shared" si="51"/>
        <v>1784.733825982576</v>
      </c>
      <c r="H329" s="20">
        <f t="shared" si="56"/>
        <v>591.08100174678759</v>
      </c>
      <c r="I329" s="20">
        <f t="shared" si="52"/>
        <v>103296.3331512241</v>
      </c>
      <c r="J329" s="73"/>
      <c r="K329" s="22">
        <f t="shared" si="57"/>
        <v>263003.66684877599</v>
      </c>
      <c r="L329" s="22">
        <f t="shared" si="58"/>
        <v>473498.92974732647</v>
      </c>
    </row>
    <row r="330" spans="1:12" ht="14.25" customHeight="1" x14ac:dyDescent="0.2">
      <c r="A330" s="15">
        <f t="shared" si="53"/>
        <v>311</v>
      </c>
      <c r="B330" s="16">
        <f t="shared" si="48"/>
        <v>54363</v>
      </c>
      <c r="C330" s="20">
        <f t="shared" si="54"/>
        <v>103296.3331512241</v>
      </c>
      <c r="D330" s="20">
        <f t="shared" si="49"/>
        <v>2375.8148277293635</v>
      </c>
      <c r="E330" s="59">
        <f t="shared" si="55"/>
        <v>0</v>
      </c>
      <c r="F330" s="20">
        <f t="shared" si="50"/>
        <v>2375.8148277293635</v>
      </c>
      <c r="G330" s="20">
        <f t="shared" si="51"/>
        <v>1794.772953753728</v>
      </c>
      <c r="H330" s="20">
        <f t="shared" si="56"/>
        <v>581.04187397563567</v>
      </c>
      <c r="I330" s="20">
        <f t="shared" si="52"/>
        <v>101501.56019747037</v>
      </c>
      <c r="J330" s="73"/>
      <c r="K330" s="22">
        <f t="shared" si="57"/>
        <v>264798.4398025297</v>
      </c>
      <c r="L330" s="22">
        <f t="shared" si="58"/>
        <v>474079.97162130213</v>
      </c>
    </row>
    <row r="331" spans="1:12" ht="14.25" customHeight="1" x14ac:dyDescent="0.2">
      <c r="A331" s="15">
        <f t="shared" si="53"/>
        <v>312</v>
      </c>
      <c r="B331" s="16">
        <f t="shared" si="48"/>
        <v>54393</v>
      </c>
      <c r="C331" s="20">
        <f t="shared" si="54"/>
        <v>101501.56019747037</v>
      </c>
      <c r="D331" s="20">
        <f t="shared" si="49"/>
        <v>2375.8148277293635</v>
      </c>
      <c r="E331" s="59">
        <f t="shared" si="55"/>
        <v>0</v>
      </c>
      <c r="F331" s="20">
        <f t="shared" si="50"/>
        <v>2375.8148277293635</v>
      </c>
      <c r="G331" s="20">
        <f t="shared" si="51"/>
        <v>1804.8685516185926</v>
      </c>
      <c r="H331" s="20">
        <f t="shared" si="56"/>
        <v>570.9462761107709</v>
      </c>
      <c r="I331" s="20">
        <f t="shared" si="52"/>
        <v>99696.691645851781</v>
      </c>
      <c r="J331" s="73"/>
      <c r="K331" s="22">
        <f t="shared" si="57"/>
        <v>266603.30835414829</v>
      </c>
      <c r="L331" s="22">
        <f t="shared" si="58"/>
        <v>474650.9178974129</v>
      </c>
    </row>
    <row r="332" spans="1:12" ht="14.25" customHeight="1" x14ac:dyDescent="0.2">
      <c r="A332" s="15">
        <f t="shared" si="53"/>
        <v>313</v>
      </c>
      <c r="B332" s="16">
        <f t="shared" si="48"/>
        <v>54424</v>
      </c>
      <c r="C332" s="20">
        <f t="shared" si="54"/>
        <v>99696.691645851781</v>
      </c>
      <c r="D332" s="20">
        <f t="shared" si="49"/>
        <v>2375.8148277293635</v>
      </c>
      <c r="E332" s="59">
        <f t="shared" si="55"/>
        <v>0</v>
      </c>
      <c r="F332" s="20">
        <f t="shared" si="50"/>
        <v>2375.8148277293635</v>
      </c>
      <c r="G332" s="20">
        <f t="shared" si="51"/>
        <v>1815.0209372214472</v>
      </c>
      <c r="H332" s="20">
        <f t="shared" si="56"/>
        <v>560.79389050791633</v>
      </c>
      <c r="I332" s="20">
        <f t="shared" si="52"/>
        <v>97881.670708630336</v>
      </c>
      <c r="J332" s="73"/>
      <c r="K332" s="22">
        <f t="shared" si="57"/>
        <v>268418.32929136977</v>
      </c>
      <c r="L332" s="22">
        <f t="shared" si="58"/>
        <v>475211.71178792079</v>
      </c>
    </row>
    <row r="333" spans="1:12" ht="14.25" customHeight="1" x14ac:dyDescent="0.2">
      <c r="A333" s="15">
        <f t="shared" si="53"/>
        <v>314</v>
      </c>
      <c r="B333" s="16">
        <f t="shared" si="48"/>
        <v>54455</v>
      </c>
      <c r="C333" s="20">
        <f t="shared" si="54"/>
        <v>97881.670708630336</v>
      </c>
      <c r="D333" s="20">
        <f t="shared" si="49"/>
        <v>2375.8148277293635</v>
      </c>
      <c r="E333" s="59">
        <f t="shared" si="55"/>
        <v>0</v>
      </c>
      <c r="F333" s="20">
        <f t="shared" si="50"/>
        <v>2375.8148277293635</v>
      </c>
      <c r="G333" s="20">
        <f t="shared" si="51"/>
        <v>1825.230429993318</v>
      </c>
      <c r="H333" s="20">
        <f t="shared" si="56"/>
        <v>550.58439773604562</v>
      </c>
      <c r="I333" s="20">
        <f t="shared" si="52"/>
        <v>96056.440278637019</v>
      </c>
      <c r="J333" s="73"/>
      <c r="K333" s="22">
        <f t="shared" si="57"/>
        <v>270243.55972136307</v>
      </c>
      <c r="L333" s="22">
        <f t="shared" si="58"/>
        <v>475762.29618565686</v>
      </c>
    </row>
    <row r="334" spans="1:12" ht="14.25" customHeight="1" x14ac:dyDescent="0.2">
      <c r="A334" s="15">
        <f t="shared" si="53"/>
        <v>315</v>
      </c>
      <c r="B334" s="16">
        <f t="shared" si="48"/>
        <v>54483</v>
      </c>
      <c r="C334" s="20">
        <f t="shared" si="54"/>
        <v>96056.440278637019</v>
      </c>
      <c r="D334" s="20">
        <f t="shared" si="49"/>
        <v>2375.8148277293635</v>
      </c>
      <c r="E334" s="59">
        <f t="shared" si="55"/>
        <v>0</v>
      </c>
      <c r="F334" s="20">
        <f t="shared" si="50"/>
        <v>2375.8148277293635</v>
      </c>
      <c r="G334" s="20">
        <f t="shared" si="51"/>
        <v>1835.4973511620301</v>
      </c>
      <c r="H334" s="20">
        <f t="shared" si="56"/>
        <v>540.3174765673333</v>
      </c>
      <c r="I334" s="20">
        <f t="shared" si="52"/>
        <v>94220.942927474985</v>
      </c>
      <c r="J334" s="73"/>
      <c r="K334" s="22">
        <f t="shared" si="57"/>
        <v>272079.05707252509</v>
      </c>
      <c r="L334" s="22">
        <f t="shared" si="58"/>
        <v>476302.6136622242</v>
      </c>
    </row>
    <row r="335" spans="1:12" ht="14.25" customHeight="1" x14ac:dyDescent="0.2">
      <c r="A335" s="15">
        <f t="shared" si="53"/>
        <v>316</v>
      </c>
      <c r="B335" s="16">
        <f t="shared" si="48"/>
        <v>54514</v>
      </c>
      <c r="C335" s="20">
        <f t="shared" si="54"/>
        <v>94220.942927474985</v>
      </c>
      <c r="D335" s="20">
        <f t="shared" si="49"/>
        <v>2375.8148277293635</v>
      </c>
      <c r="E335" s="59">
        <f t="shared" si="55"/>
        <v>0</v>
      </c>
      <c r="F335" s="20">
        <f t="shared" si="50"/>
        <v>2375.8148277293635</v>
      </c>
      <c r="G335" s="20">
        <f t="shared" si="51"/>
        <v>1845.8220237623168</v>
      </c>
      <c r="H335" s="20">
        <f t="shared" si="56"/>
        <v>529.99280396704683</v>
      </c>
      <c r="I335" s="20">
        <f t="shared" si="52"/>
        <v>92375.120903712668</v>
      </c>
      <c r="J335" s="73"/>
      <c r="K335" s="22">
        <f t="shared" si="57"/>
        <v>273924.87909628742</v>
      </c>
      <c r="L335" s="22">
        <f t="shared" si="58"/>
        <v>476832.60646619124</v>
      </c>
    </row>
    <row r="336" spans="1:12" ht="14.25" customHeight="1" x14ac:dyDescent="0.2">
      <c r="A336" s="15">
        <f t="shared" si="53"/>
        <v>317</v>
      </c>
      <c r="B336" s="16">
        <f t="shared" si="48"/>
        <v>54544</v>
      </c>
      <c r="C336" s="20">
        <f t="shared" si="54"/>
        <v>92375.120903712668</v>
      </c>
      <c r="D336" s="20">
        <f t="shared" si="49"/>
        <v>2375.8148277293635</v>
      </c>
      <c r="E336" s="59">
        <f t="shared" si="55"/>
        <v>0</v>
      </c>
      <c r="F336" s="20">
        <f t="shared" si="50"/>
        <v>2375.8148277293635</v>
      </c>
      <c r="G336" s="20">
        <f t="shared" si="51"/>
        <v>1856.2047726459796</v>
      </c>
      <c r="H336" s="20">
        <f t="shared" si="56"/>
        <v>519.61005508338383</v>
      </c>
      <c r="I336" s="20">
        <f t="shared" si="52"/>
        <v>90518.916131066682</v>
      </c>
      <c r="J336" s="73"/>
      <c r="K336" s="22">
        <f t="shared" si="57"/>
        <v>275781.08386893338</v>
      </c>
      <c r="L336" s="22">
        <f t="shared" si="58"/>
        <v>477352.21652127465</v>
      </c>
    </row>
    <row r="337" spans="1:12" ht="14.25" customHeight="1" x14ac:dyDescent="0.2">
      <c r="A337" s="15">
        <f t="shared" si="53"/>
        <v>318</v>
      </c>
      <c r="B337" s="16">
        <f t="shared" si="48"/>
        <v>54575</v>
      </c>
      <c r="C337" s="20">
        <f t="shared" si="54"/>
        <v>90518.916131066682</v>
      </c>
      <c r="D337" s="20">
        <f t="shared" si="49"/>
        <v>2375.8148277293635</v>
      </c>
      <c r="E337" s="59">
        <f t="shared" si="55"/>
        <v>0</v>
      </c>
      <c r="F337" s="20">
        <f t="shared" si="50"/>
        <v>2375.8148277293635</v>
      </c>
      <c r="G337" s="20">
        <f t="shared" si="51"/>
        <v>1866.6459244921134</v>
      </c>
      <c r="H337" s="20">
        <f t="shared" si="56"/>
        <v>509.16890323725011</v>
      </c>
      <c r="I337" s="20">
        <f t="shared" si="52"/>
        <v>88652.270206574569</v>
      </c>
      <c r="J337" s="73"/>
      <c r="K337" s="22">
        <f t="shared" si="57"/>
        <v>277647.72979342547</v>
      </c>
      <c r="L337" s="22">
        <f t="shared" si="58"/>
        <v>477861.38542451191</v>
      </c>
    </row>
    <row r="338" spans="1:12" ht="14.25" customHeight="1" x14ac:dyDescent="0.2">
      <c r="A338" s="15">
        <f t="shared" si="53"/>
        <v>319</v>
      </c>
      <c r="B338" s="16">
        <f t="shared" si="48"/>
        <v>54605</v>
      </c>
      <c r="C338" s="20">
        <f t="shared" si="54"/>
        <v>88652.270206574569</v>
      </c>
      <c r="D338" s="20">
        <f t="shared" si="49"/>
        <v>2375.8148277293635</v>
      </c>
      <c r="E338" s="59">
        <f t="shared" si="55"/>
        <v>0</v>
      </c>
      <c r="F338" s="20">
        <f t="shared" si="50"/>
        <v>2375.8148277293635</v>
      </c>
      <c r="G338" s="20">
        <f t="shared" si="51"/>
        <v>1877.1458078173816</v>
      </c>
      <c r="H338" s="20">
        <f t="shared" si="56"/>
        <v>498.66901991198193</v>
      </c>
      <c r="I338" s="20">
        <f t="shared" si="52"/>
        <v>86775.124398757194</v>
      </c>
      <c r="J338" s="73"/>
      <c r="K338" s="22">
        <f t="shared" si="57"/>
        <v>279524.87560124288</v>
      </c>
      <c r="L338" s="22">
        <f t="shared" si="58"/>
        <v>478360.05444442388</v>
      </c>
    </row>
    <row r="339" spans="1:12" ht="14.25" customHeight="1" x14ac:dyDescent="0.2">
      <c r="A339" s="15">
        <f t="shared" si="53"/>
        <v>320</v>
      </c>
      <c r="B339" s="16">
        <f t="shared" si="48"/>
        <v>54636</v>
      </c>
      <c r="C339" s="20">
        <f t="shared" si="54"/>
        <v>86775.124398757194</v>
      </c>
      <c r="D339" s="20">
        <f t="shared" si="49"/>
        <v>2375.8148277293635</v>
      </c>
      <c r="E339" s="59">
        <f t="shared" si="55"/>
        <v>0</v>
      </c>
      <c r="F339" s="20">
        <f t="shared" si="50"/>
        <v>2375.8148277293635</v>
      </c>
      <c r="G339" s="20">
        <f t="shared" si="51"/>
        <v>1887.7047529863542</v>
      </c>
      <c r="H339" s="20">
        <f t="shared" si="56"/>
        <v>488.11007474300931</v>
      </c>
      <c r="I339" s="20">
        <f t="shared" si="52"/>
        <v>84887.419645770846</v>
      </c>
      <c r="J339" s="73"/>
      <c r="K339" s="22">
        <f t="shared" si="57"/>
        <v>281412.58035422926</v>
      </c>
      <c r="L339" s="22">
        <f t="shared" si="58"/>
        <v>478848.16451916686</v>
      </c>
    </row>
    <row r="340" spans="1:12" ht="14.25" customHeight="1" x14ac:dyDescent="0.2">
      <c r="A340" s="15">
        <f t="shared" si="53"/>
        <v>321</v>
      </c>
      <c r="B340" s="16">
        <f t="shared" ref="B340:B379" si="59">IF(Pay_Num&lt;&gt;"",DATE(YEAR(Loan_Start),MONTH(Loan_Start)+(Pay_Num)*12/Num_Pmt_Per_Year,DAY(Loan_Start)),"")</f>
        <v>54667</v>
      </c>
      <c r="C340" s="20">
        <f t="shared" si="54"/>
        <v>84887.419645770846</v>
      </c>
      <c r="D340" s="20">
        <f t="shared" ref="D340:D379" si="60">IF($AG$14&lt;&gt;"",(IF(A340&lt;=$AG$15,(Loan_Amount*Interest_Rate/12),(Loan_Amount*((Interest_Rate/12+1)-1)/(1-((Interest_Rate/12+1)^(Loan_Years*-12+$AG$15)))))),(Loan_Amount*((Interest_Rate/12+1)-1)/(1-((Interest_Rate/12+1)^(Loan_Years*-12)))))</f>
        <v>2375.8148277293635</v>
      </c>
      <c r="E340" s="59">
        <f t="shared" si="55"/>
        <v>0</v>
      </c>
      <c r="F340" s="20">
        <f t="shared" ref="F340:F379" si="61">IF(AND(Pay_Num&lt;&gt;"",Sched_Pay+Extra_Pay&lt;Beg_Bal),Sched_Pay+Extra_Pay,IF(Pay_Num&lt;&gt;"",Beg_Bal,""))</f>
        <v>2375.8148277293635</v>
      </c>
      <c r="G340" s="20">
        <f t="shared" ref="G340:G379" si="62">IF(Pay_Num&lt;&gt;"",Total_Pay-Int,"")</f>
        <v>1898.3230922219025</v>
      </c>
      <c r="H340" s="20">
        <f t="shared" si="56"/>
        <v>477.49173550746104</v>
      </c>
      <c r="I340" s="20">
        <f t="shared" ref="I340:I379" si="63">IF(AND(Pay_Num&lt;&gt;"",Sched_Pay+Extra_Pay&lt;Beg_Bal),Beg_Bal-Princ,IF(Pay_Num&lt;&gt;"",0,""))</f>
        <v>82989.096553548938</v>
      </c>
      <c r="J340" s="73"/>
      <c r="K340" s="22">
        <f t="shared" si="57"/>
        <v>283310.90344645118</v>
      </c>
      <c r="L340" s="22">
        <f t="shared" si="58"/>
        <v>479325.65625467431</v>
      </c>
    </row>
    <row r="341" spans="1:12" ht="14.25" customHeight="1" x14ac:dyDescent="0.2">
      <c r="A341" s="15">
        <f t="shared" ref="A341:A379" si="64">IF(values_entered,A340+1,"")</f>
        <v>322</v>
      </c>
      <c r="B341" s="16">
        <f t="shared" si="59"/>
        <v>54697</v>
      </c>
      <c r="C341" s="20">
        <f t="shared" ref="C341:C379" si="65">IF(Pay_Num&lt;&gt;"",I340,"")</f>
        <v>82989.096553548938</v>
      </c>
      <c r="D341" s="20">
        <f t="shared" si="60"/>
        <v>2375.8148277293635</v>
      </c>
      <c r="E341" s="59">
        <f t="shared" ref="E341:E379" si="66">$D$13</f>
        <v>0</v>
      </c>
      <c r="F341" s="20">
        <f t="shared" si="61"/>
        <v>2375.8148277293635</v>
      </c>
      <c r="G341" s="20">
        <f t="shared" si="62"/>
        <v>1909.0011596156507</v>
      </c>
      <c r="H341" s="20">
        <f t="shared" ref="H341:H379" si="67">IF(Pay_Num&lt;&gt;"",Beg_Bal*Interest_Rate/Num_Pmt_Per_Year,"")</f>
        <v>466.81366811371282</v>
      </c>
      <c r="I341" s="20">
        <f t="shared" si="63"/>
        <v>81080.095393933283</v>
      </c>
      <c r="J341" s="73"/>
      <c r="K341" s="22">
        <f t="shared" ref="K341:K379" si="68">G341+K340</f>
        <v>285219.90460606682</v>
      </c>
      <c r="L341" s="22">
        <f t="shared" ref="L341:L379" si="69">L340+H341</f>
        <v>479792.46992278803</v>
      </c>
    </row>
    <row r="342" spans="1:12" ht="14.25" customHeight="1" x14ac:dyDescent="0.2">
      <c r="A342" s="15">
        <f t="shared" si="64"/>
        <v>323</v>
      </c>
      <c r="B342" s="16">
        <f t="shared" si="59"/>
        <v>54728</v>
      </c>
      <c r="C342" s="20">
        <f t="shared" si="65"/>
        <v>81080.095393933283</v>
      </c>
      <c r="D342" s="20">
        <f t="shared" si="60"/>
        <v>2375.8148277293635</v>
      </c>
      <c r="E342" s="59">
        <f t="shared" si="66"/>
        <v>0</v>
      </c>
      <c r="F342" s="20">
        <f t="shared" si="61"/>
        <v>2375.8148277293635</v>
      </c>
      <c r="G342" s="20">
        <f t="shared" si="62"/>
        <v>1919.7392911384889</v>
      </c>
      <c r="H342" s="20">
        <f t="shared" si="67"/>
        <v>456.07553659087472</v>
      </c>
      <c r="I342" s="20">
        <f t="shared" si="63"/>
        <v>79160.356102794787</v>
      </c>
      <c r="J342" s="73"/>
      <c r="K342" s="22">
        <f t="shared" si="68"/>
        <v>287139.6438972053</v>
      </c>
      <c r="L342" s="22">
        <f t="shared" si="69"/>
        <v>480248.54545937892</v>
      </c>
    </row>
    <row r="343" spans="1:12" ht="14.25" customHeight="1" x14ac:dyDescent="0.2">
      <c r="A343" s="15">
        <f t="shared" si="64"/>
        <v>324</v>
      </c>
      <c r="B343" s="16">
        <f t="shared" si="59"/>
        <v>54758</v>
      </c>
      <c r="C343" s="20">
        <f t="shared" si="65"/>
        <v>79160.356102794787</v>
      </c>
      <c r="D343" s="20">
        <f t="shared" si="60"/>
        <v>2375.8148277293635</v>
      </c>
      <c r="E343" s="59">
        <f t="shared" si="66"/>
        <v>0</v>
      </c>
      <c r="F343" s="20">
        <f t="shared" si="61"/>
        <v>2375.8148277293635</v>
      </c>
      <c r="G343" s="20">
        <f t="shared" si="62"/>
        <v>1930.5378246511427</v>
      </c>
      <c r="H343" s="20">
        <f t="shared" si="67"/>
        <v>445.27700307822073</v>
      </c>
      <c r="I343" s="20">
        <f t="shared" si="63"/>
        <v>77229.818278143648</v>
      </c>
      <c r="J343" s="73"/>
      <c r="K343" s="22">
        <f t="shared" si="68"/>
        <v>289070.18172185647</v>
      </c>
      <c r="L343" s="22">
        <f t="shared" si="69"/>
        <v>480693.82246245712</v>
      </c>
    </row>
    <row r="344" spans="1:12" ht="14.25" customHeight="1" x14ac:dyDescent="0.2">
      <c r="A344" s="15">
        <f t="shared" si="64"/>
        <v>325</v>
      </c>
      <c r="B344" s="16">
        <f t="shared" si="59"/>
        <v>54789</v>
      </c>
      <c r="C344" s="20">
        <f t="shared" si="65"/>
        <v>77229.818278143648</v>
      </c>
      <c r="D344" s="20">
        <f t="shared" si="60"/>
        <v>2375.8148277293635</v>
      </c>
      <c r="E344" s="59">
        <f t="shared" si="66"/>
        <v>0</v>
      </c>
      <c r="F344" s="20">
        <f t="shared" si="61"/>
        <v>2375.8148277293635</v>
      </c>
      <c r="G344" s="20">
        <f t="shared" si="62"/>
        <v>1941.3970999148055</v>
      </c>
      <c r="H344" s="20">
        <f t="shared" si="67"/>
        <v>434.41772781455802</v>
      </c>
      <c r="I344" s="20">
        <f t="shared" si="63"/>
        <v>75288.421178228848</v>
      </c>
      <c r="J344" s="73"/>
      <c r="K344" s="22">
        <f t="shared" si="68"/>
        <v>291011.57882177125</v>
      </c>
      <c r="L344" s="22">
        <f t="shared" si="69"/>
        <v>481128.2401902717</v>
      </c>
    </row>
    <row r="345" spans="1:12" ht="14.25" customHeight="1" x14ac:dyDescent="0.2">
      <c r="A345" s="15">
        <f t="shared" si="64"/>
        <v>326</v>
      </c>
      <c r="B345" s="16">
        <f t="shared" si="59"/>
        <v>54820</v>
      </c>
      <c r="C345" s="20">
        <f t="shared" si="65"/>
        <v>75288.421178228848</v>
      </c>
      <c r="D345" s="20">
        <f t="shared" si="60"/>
        <v>2375.8148277293635</v>
      </c>
      <c r="E345" s="59">
        <f t="shared" si="66"/>
        <v>0</v>
      </c>
      <c r="F345" s="20">
        <f t="shared" si="61"/>
        <v>2375.8148277293635</v>
      </c>
      <c r="G345" s="20">
        <f t="shared" si="62"/>
        <v>1952.3174586018263</v>
      </c>
      <c r="H345" s="20">
        <f t="shared" si="67"/>
        <v>423.4973691275373</v>
      </c>
      <c r="I345" s="20">
        <f t="shared" si="63"/>
        <v>73336.103719627019</v>
      </c>
      <c r="J345" s="73"/>
      <c r="K345" s="22">
        <f t="shared" si="68"/>
        <v>292963.8962803731</v>
      </c>
      <c r="L345" s="22">
        <f t="shared" si="69"/>
        <v>481551.73755939922</v>
      </c>
    </row>
    <row r="346" spans="1:12" ht="14.25" customHeight="1" x14ac:dyDescent="0.2">
      <c r="A346" s="15">
        <f t="shared" si="64"/>
        <v>327</v>
      </c>
      <c r="B346" s="16">
        <f t="shared" si="59"/>
        <v>54848</v>
      </c>
      <c r="C346" s="20">
        <f t="shared" si="65"/>
        <v>73336.103719627019</v>
      </c>
      <c r="D346" s="20">
        <f t="shared" si="60"/>
        <v>2375.8148277293635</v>
      </c>
      <c r="E346" s="59">
        <f t="shared" si="66"/>
        <v>0</v>
      </c>
      <c r="F346" s="20">
        <f t="shared" si="61"/>
        <v>2375.8148277293635</v>
      </c>
      <c r="G346" s="20">
        <f t="shared" si="62"/>
        <v>1963.2992443064616</v>
      </c>
      <c r="H346" s="20">
        <f t="shared" si="67"/>
        <v>412.51558342290201</v>
      </c>
      <c r="I346" s="20">
        <f t="shared" si="63"/>
        <v>71372.804475320561</v>
      </c>
      <c r="J346" s="73"/>
      <c r="K346" s="22">
        <f t="shared" si="68"/>
        <v>294927.19552467956</v>
      </c>
      <c r="L346" s="22">
        <f t="shared" si="69"/>
        <v>481964.25314282213</v>
      </c>
    </row>
    <row r="347" spans="1:12" ht="14.25" customHeight="1" x14ac:dyDescent="0.2">
      <c r="A347" s="15">
        <f t="shared" si="64"/>
        <v>328</v>
      </c>
      <c r="B347" s="16">
        <f t="shared" si="59"/>
        <v>54879</v>
      </c>
      <c r="C347" s="20">
        <f t="shared" si="65"/>
        <v>71372.804475320561</v>
      </c>
      <c r="D347" s="20">
        <f t="shared" si="60"/>
        <v>2375.8148277293635</v>
      </c>
      <c r="E347" s="59">
        <f t="shared" si="66"/>
        <v>0</v>
      </c>
      <c r="F347" s="20">
        <f t="shared" si="61"/>
        <v>2375.8148277293635</v>
      </c>
      <c r="G347" s="20">
        <f t="shared" si="62"/>
        <v>1974.3428025556852</v>
      </c>
      <c r="H347" s="20">
        <f t="shared" si="67"/>
        <v>401.47202517367822</v>
      </c>
      <c r="I347" s="20">
        <f t="shared" si="63"/>
        <v>69398.461672764883</v>
      </c>
      <c r="J347" s="73"/>
      <c r="K347" s="22">
        <f t="shared" si="68"/>
        <v>296901.53832723526</v>
      </c>
      <c r="L347" s="22">
        <f t="shared" si="69"/>
        <v>482365.72516799578</v>
      </c>
    </row>
    <row r="348" spans="1:12" ht="14.25" customHeight="1" x14ac:dyDescent="0.2">
      <c r="A348" s="15">
        <f t="shared" si="64"/>
        <v>329</v>
      </c>
      <c r="B348" s="16">
        <f t="shared" si="59"/>
        <v>54909</v>
      </c>
      <c r="C348" s="20">
        <f t="shared" si="65"/>
        <v>69398.461672764883</v>
      </c>
      <c r="D348" s="20">
        <f t="shared" si="60"/>
        <v>2375.8148277293635</v>
      </c>
      <c r="E348" s="59">
        <f t="shared" si="66"/>
        <v>0</v>
      </c>
      <c r="F348" s="20">
        <f t="shared" si="61"/>
        <v>2375.8148277293635</v>
      </c>
      <c r="G348" s="20">
        <f t="shared" si="62"/>
        <v>1985.4484808200609</v>
      </c>
      <c r="H348" s="20">
        <f t="shared" si="67"/>
        <v>390.36634690930254</v>
      </c>
      <c r="I348" s="20">
        <f t="shared" si="63"/>
        <v>67413.013191944818</v>
      </c>
      <c r="J348" s="73"/>
      <c r="K348" s="22">
        <f t="shared" si="68"/>
        <v>298886.98680805531</v>
      </c>
      <c r="L348" s="22">
        <f t="shared" si="69"/>
        <v>482756.0915149051</v>
      </c>
    </row>
    <row r="349" spans="1:12" ht="14.25" customHeight="1" x14ac:dyDescent="0.2">
      <c r="A349" s="15">
        <f t="shared" si="64"/>
        <v>330</v>
      </c>
      <c r="B349" s="16">
        <f t="shared" si="59"/>
        <v>54940</v>
      </c>
      <c r="C349" s="20">
        <f t="shared" si="65"/>
        <v>67413.013191944818</v>
      </c>
      <c r="D349" s="20">
        <f t="shared" si="60"/>
        <v>2375.8148277293635</v>
      </c>
      <c r="E349" s="59">
        <f t="shared" si="66"/>
        <v>0</v>
      </c>
      <c r="F349" s="20">
        <f t="shared" si="61"/>
        <v>2375.8148277293635</v>
      </c>
      <c r="G349" s="20">
        <f t="shared" si="62"/>
        <v>1996.6166285246738</v>
      </c>
      <c r="H349" s="20">
        <f t="shared" si="67"/>
        <v>379.19819920468962</v>
      </c>
      <c r="I349" s="20">
        <f t="shared" si="63"/>
        <v>65416.396563420145</v>
      </c>
      <c r="J349" s="73"/>
      <c r="K349" s="22">
        <f t="shared" si="68"/>
        <v>300883.60343657999</v>
      </c>
      <c r="L349" s="22">
        <f t="shared" si="69"/>
        <v>483135.28971410979</v>
      </c>
    </row>
    <row r="350" spans="1:12" ht="14.25" customHeight="1" x14ac:dyDescent="0.2">
      <c r="A350" s="15">
        <f t="shared" si="64"/>
        <v>331</v>
      </c>
      <c r="B350" s="16">
        <f t="shared" si="59"/>
        <v>54970</v>
      </c>
      <c r="C350" s="20">
        <f t="shared" si="65"/>
        <v>65416.396563420145</v>
      </c>
      <c r="D350" s="20">
        <f t="shared" si="60"/>
        <v>2375.8148277293635</v>
      </c>
      <c r="E350" s="59">
        <f t="shared" si="66"/>
        <v>0</v>
      </c>
      <c r="F350" s="20">
        <f t="shared" si="61"/>
        <v>2375.8148277293635</v>
      </c>
      <c r="G350" s="20">
        <f t="shared" si="62"/>
        <v>2007.8475970601253</v>
      </c>
      <c r="H350" s="20">
        <f t="shared" si="67"/>
        <v>367.96723066923829</v>
      </c>
      <c r="I350" s="20">
        <f t="shared" si="63"/>
        <v>63408.548966360016</v>
      </c>
      <c r="J350" s="73"/>
      <c r="K350" s="22">
        <f t="shared" si="68"/>
        <v>302891.45103364013</v>
      </c>
      <c r="L350" s="22">
        <f t="shared" si="69"/>
        <v>483503.25694477902</v>
      </c>
    </row>
    <row r="351" spans="1:12" ht="14.25" customHeight="1" x14ac:dyDescent="0.2">
      <c r="A351" s="15">
        <f t="shared" si="64"/>
        <v>332</v>
      </c>
      <c r="B351" s="16">
        <f t="shared" si="59"/>
        <v>55001</v>
      </c>
      <c r="C351" s="20">
        <f t="shared" si="65"/>
        <v>63408.548966360016</v>
      </c>
      <c r="D351" s="20">
        <f t="shared" si="60"/>
        <v>2375.8148277293635</v>
      </c>
      <c r="E351" s="59">
        <f t="shared" si="66"/>
        <v>0</v>
      </c>
      <c r="F351" s="20">
        <f t="shared" si="61"/>
        <v>2375.8148277293635</v>
      </c>
      <c r="G351" s="20">
        <f t="shared" si="62"/>
        <v>2019.1417397935884</v>
      </c>
      <c r="H351" s="20">
        <f t="shared" si="67"/>
        <v>356.67308793577513</v>
      </c>
      <c r="I351" s="20">
        <f t="shared" si="63"/>
        <v>61389.407226566429</v>
      </c>
      <c r="J351" s="73"/>
      <c r="K351" s="22">
        <f t="shared" si="68"/>
        <v>304910.59277343372</v>
      </c>
      <c r="L351" s="22">
        <f t="shared" si="69"/>
        <v>483859.93003271479</v>
      </c>
    </row>
    <row r="352" spans="1:12" ht="14.25" customHeight="1" x14ac:dyDescent="0.2">
      <c r="A352" s="15">
        <f t="shared" si="64"/>
        <v>333</v>
      </c>
      <c r="B352" s="16">
        <f t="shared" si="59"/>
        <v>55032</v>
      </c>
      <c r="C352" s="20">
        <f t="shared" si="65"/>
        <v>61389.407226566429</v>
      </c>
      <c r="D352" s="20">
        <f t="shared" si="60"/>
        <v>2375.8148277293635</v>
      </c>
      <c r="E352" s="59">
        <f t="shared" si="66"/>
        <v>0</v>
      </c>
      <c r="F352" s="20">
        <f t="shared" si="61"/>
        <v>2375.8148277293635</v>
      </c>
      <c r="G352" s="20">
        <f t="shared" si="62"/>
        <v>2030.4994120799274</v>
      </c>
      <c r="H352" s="20">
        <f t="shared" si="67"/>
        <v>345.31541564943615</v>
      </c>
      <c r="I352" s="20">
        <f t="shared" si="63"/>
        <v>59358.907814486505</v>
      </c>
      <c r="J352" s="73"/>
      <c r="K352" s="22">
        <f t="shared" si="68"/>
        <v>306941.09218551364</v>
      </c>
      <c r="L352" s="22">
        <f t="shared" si="69"/>
        <v>484205.24544836424</v>
      </c>
    </row>
    <row r="353" spans="1:12" ht="14.25" customHeight="1" x14ac:dyDescent="0.2">
      <c r="A353" s="15">
        <f t="shared" si="64"/>
        <v>334</v>
      </c>
      <c r="B353" s="16">
        <f t="shared" si="59"/>
        <v>55062</v>
      </c>
      <c r="C353" s="20">
        <f t="shared" si="65"/>
        <v>59358.907814486505</v>
      </c>
      <c r="D353" s="20">
        <f t="shared" si="60"/>
        <v>2375.8148277293635</v>
      </c>
      <c r="E353" s="59">
        <f t="shared" si="66"/>
        <v>0</v>
      </c>
      <c r="F353" s="20">
        <f t="shared" si="61"/>
        <v>2375.8148277293635</v>
      </c>
      <c r="G353" s="20">
        <f t="shared" si="62"/>
        <v>2041.9209712728768</v>
      </c>
      <c r="H353" s="20">
        <f t="shared" si="67"/>
        <v>333.89385645648662</v>
      </c>
      <c r="I353" s="20">
        <f t="shared" si="63"/>
        <v>57316.986843213628</v>
      </c>
      <c r="J353" s="73"/>
      <c r="K353" s="22">
        <f t="shared" si="68"/>
        <v>308983.0131567865</v>
      </c>
      <c r="L353" s="22">
        <f t="shared" si="69"/>
        <v>484539.13930482074</v>
      </c>
    </row>
    <row r="354" spans="1:12" ht="14.25" customHeight="1" x14ac:dyDescent="0.2">
      <c r="A354" s="15">
        <f t="shared" si="64"/>
        <v>335</v>
      </c>
      <c r="B354" s="16">
        <f t="shared" si="59"/>
        <v>55093</v>
      </c>
      <c r="C354" s="20">
        <f t="shared" si="65"/>
        <v>57316.986843213628</v>
      </c>
      <c r="D354" s="20">
        <f t="shared" si="60"/>
        <v>2375.8148277293635</v>
      </c>
      <c r="E354" s="59">
        <f t="shared" si="66"/>
        <v>0</v>
      </c>
      <c r="F354" s="20">
        <f t="shared" si="61"/>
        <v>2375.8148277293635</v>
      </c>
      <c r="G354" s="20">
        <f t="shared" si="62"/>
        <v>2053.4067767362867</v>
      </c>
      <c r="H354" s="20">
        <f t="shared" si="67"/>
        <v>322.40805099307664</v>
      </c>
      <c r="I354" s="20">
        <f t="shared" si="63"/>
        <v>55263.580066477341</v>
      </c>
      <c r="J354" s="73"/>
      <c r="K354" s="22">
        <f t="shared" si="68"/>
        <v>311036.41993352282</v>
      </c>
      <c r="L354" s="22">
        <f t="shared" si="69"/>
        <v>484861.54735581379</v>
      </c>
    </row>
    <row r="355" spans="1:12" ht="14.25" customHeight="1" x14ac:dyDescent="0.2">
      <c r="A355" s="15">
        <f t="shared" si="64"/>
        <v>336</v>
      </c>
      <c r="B355" s="16">
        <f t="shared" si="59"/>
        <v>55123</v>
      </c>
      <c r="C355" s="20">
        <f t="shared" si="65"/>
        <v>55263.580066477341</v>
      </c>
      <c r="D355" s="20">
        <f t="shared" si="60"/>
        <v>2375.8148277293635</v>
      </c>
      <c r="E355" s="59">
        <f t="shared" si="66"/>
        <v>0</v>
      </c>
      <c r="F355" s="20">
        <f t="shared" si="61"/>
        <v>2375.8148277293635</v>
      </c>
      <c r="G355" s="20">
        <f t="shared" si="62"/>
        <v>2064.9571898554286</v>
      </c>
      <c r="H355" s="20">
        <f t="shared" si="67"/>
        <v>310.85763787393506</v>
      </c>
      <c r="I355" s="20">
        <f t="shared" si="63"/>
        <v>53198.622876621914</v>
      </c>
      <c r="J355" s="73"/>
      <c r="K355" s="22">
        <f t="shared" si="68"/>
        <v>313101.37712337828</v>
      </c>
      <c r="L355" s="22">
        <f t="shared" si="69"/>
        <v>485172.4049936877</v>
      </c>
    </row>
    <row r="356" spans="1:12" ht="14.25" customHeight="1" x14ac:dyDescent="0.2">
      <c r="A356" s="15">
        <f t="shared" si="64"/>
        <v>337</v>
      </c>
      <c r="B356" s="16">
        <f t="shared" si="59"/>
        <v>55154</v>
      </c>
      <c r="C356" s="20">
        <f t="shared" si="65"/>
        <v>53198.622876621914</v>
      </c>
      <c r="D356" s="20">
        <f t="shared" si="60"/>
        <v>2375.8148277293635</v>
      </c>
      <c r="E356" s="59">
        <f t="shared" si="66"/>
        <v>0</v>
      </c>
      <c r="F356" s="20">
        <f t="shared" si="61"/>
        <v>2375.8148277293635</v>
      </c>
      <c r="G356" s="20">
        <f t="shared" si="62"/>
        <v>2076.5725740483654</v>
      </c>
      <c r="H356" s="20">
        <f t="shared" si="67"/>
        <v>299.24225368099832</v>
      </c>
      <c r="I356" s="20">
        <f t="shared" si="63"/>
        <v>51122.050302573545</v>
      </c>
      <c r="J356" s="73"/>
      <c r="K356" s="22">
        <f t="shared" si="68"/>
        <v>315177.94969742664</v>
      </c>
      <c r="L356" s="22">
        <f t="shared" si="69"/>
        <v>485471.6472473687</v>
      </c>
    </row>
    <row r="357" spans="1:12" ht="14.25" customHeight="1" x14ac:dyDescent="0.2">
      <c r="A357" s="15">
        <f t="shared" si="64"/>
        <v>338</v>
      </c>
      <c r="B357" s="16">
        <f t="shared" si="59"/>
        <v>55185</v>
      </c>
      <c r="C357" s="20">
        <f t="shared" si="65"/>
        <v>51122.050302573545</v>
      </c>
      <c r="D357" s="20">
        <f t="shared" si="60"/>
        <v>2375.8148277293635</v>
      </c>
      <c r="E357" s="59">
        <f t="shared" si="66"/>
        <v>0</v>
      </c>
      <c r="F357" s="20">
        <f t="shared" si="61"/>
        <v>2375.8148277293635</v>
      </c>
      <c r="G357" s="20">
        <f t="shared" si="62"/>
        <v>2088.2532947773875</v>
      </c>
      <c r="H357" s="20">
        <f t="shared" si="67"/>
        <v>287.56153295197618</v>
      </c>
      <c r="I357" s="20">
        <f t="shared" si="63"/>
        <v>49033.797007796158</v>
      </c>
      <c r="J357" s="73"/>
      <c r="K357" s="22">
        <f t="shared" si="68"/>
        <v>317266.20299220405</v>
      </c>
      <c r="L357" s="22">
        <f t="shared" si="69"/>
        <v>485759.20878032065</v>
      </c>
    </row>
    <row r="358" spans="1:12" ht="14.25" customHeight="1" x14ac:dyDescent="0.2">
      <c r="A358" s="15">
        <f t="shared" si="64"/>
        <v>339</v>
      </c>
      <c r="B358" s="16">
        <f t="shared" si="59"/>
        <v>55213</v>
      </c>
      <c r="C358" s="20">
        <f t="shared" si="65"/>
        <v>49033.797007796158</v>
      </c>
      <c r="D358" s="20">
        <f t="shared" si="60"/>
        <v>2375.8148277293635</v>
      </c>
      <c r="E358" s="59">
        <f t="shared" si="66"/>
        <v>0</v>
      </c>
      <c r="F358" s="20">
        <f t="shared" si="61"/>
        <v>2375.8148277293635</v>
      </c>
      <c r="G358" s="20">
        <f t="shared" si="62"/>
        <v>2099.9997195605101</v>
      </c>
      <c r="H358" s="20">
        <f t="shared" si="67"/>
        <v>275.81510816885344</v>
      </c>
      <c r="I358" s="20">
        <f t="shared" si="63"/>
        <v>46933.797288235648</v>
      </c>
      <c r="J358" s="73"/>
      <c r="K358" s="22">
        <f t="shared" si="68"/>
        <v>319366.20271176455</v>
      </c>
      <c r="L358" s="22">
        <f t="shared" si="69"/>
        <v>486035.02388848952</v>
      </c>
    </row>
    <row r="359" spans="1:12" ht="14.25" customHeight="1" x14ac:dyDescent="0.2">
      <c r="A359" s="15">
        <f t="shared" si="64"/>
        <v>340</v>
      </c>
      <c r="B359" s="16">
        <f t="shared" si="59"/>
        <v>55244</v>
      </c>
      <c r="C359" s="20">
        <f t="shared" si="65"/>
        <v>46933.797288235648</v>
      </c>
      <c r="D359" s="20">
        <f t="shared" si="60"/>
        <v>2375.8148277293635</v>
      </c>
      <c r="E359" s="59">
        <f t="shared" si="66"/>
        <v>0</v>
      </c>
      <c r="F359" s="20">
        <f t="shared" si="61"/>
        <v>2375.8148277293635</v>
      </c>
      <c r="G359" s="20">
        <f t="shared" si="62"/>
        <v>2111.812217983038</v>
      </c>
      <c r="H359" s="20">
        <f t="shared" si="67"/>
        <v>264.0026097463255</v>
      </c>
      <c r="I359" s="20">
        <f t="shared" si="63"/>
        <v>44821.985070252609</v>
      </c>
      <c r="J359" s="73"/>
      <c r="K359" s="22">
        <f t="shared" si="68"/>
        <v>321478.01492974756</v>
      </c>
      <c r="L359" s="22">
        <f t="shared" si="69"/>
        <v>486299.02649823582</v>
      </c>
    </row>
    <row r="360" spans="1:12" ht="14.25" customHeight="1" x14ac:dyDescent="0.2">
      <c r="A360" s="15">
        <f t="shared" si="64"/>
        <v>341</v>
      </c>
      <c r="B360" s="16">
        <f t="shared" si="59"/>
        <v>55274</v>
      </c>
      <c r="C360" s="20">
        <f t="shared" si="65"/>
        <v>44821.985070252609</v>
      </c>
      <c r="D360" s="20">
        <f t="shared" si="60"/>
        <v>2375.8148277293635</v>
      </c>
      <c r="E360" s="59">
        <f t="shared" si="66"/>
        <v>0</v>
      </c>
      <c r="F360" s="20">
        <f t="shared" si="61"/>
        <v>2375.8148277293635</v>
      </c>
      <c r="G360" s="20">
        <f t="shared" si="62"/>
        <v>2123.6911617091928</v>
      </c>
      <c r="H360" s="20">
        <f t="shared" si="67"/>
        <v>252.12366602017096</v>
      </c>
      <c r="I360" s="20">
        <f t="shared" si="63"/>
        <v>42698.293908543419</v>
      </c>
      <c r="J360" s="73"/>
      <c r="K360" s="22">
        <f t="shared" si="68"/>
        <v>323601.70609145676</v>
      </c>
      <c r="L360" s="22">
        <f t="shared" si="69"/>
        <v>486551.15016425599</v>
      </c>
    </row>
    <row r="361" spans="1:12" ht="14.25" customHeight="1" x14ac:dyDescent="0.2">
      <c r="A361" s="15">
        <f t="shared" si="64"/>
        <v>342</v>
      </c>
      <c r="B361" s="16">
        <f t="shared" si="59"/>
        <v>55305</v>
      </c>
      <c r="C361" s="20">
        <f t="shared" si="65"/>
        <v>42698.293908543419</v>
      </c>
      <c r="D361" s="20">
        <f t="shared" si="60"/>
        <v>2375.8148277293635</v>
      </c>
      <c r="E361" s="59">
        <f t="shared" si="66"/>
        <v>0</v>
      </c>
      <c r="F361" s="20">
        <f t="shared" si="61"/>
        <v>2375.8148277293635</v>
      </c>
      <c r="G361" s="20">
        <f t="shared" si="62"/>
        <v>2135.6369244938069</v>
      </c>
      <c r="H361" s="20">
        <f t="shared" si="67"/>
        <v>240.17790323555676</v>
      </c>
      <c r="I361" s="20">
        <f t="shared" si="63"/>
        <v>40562.656984049609</v>
      </c>
      <c r="J361" s="73"/>
      <c r="K361" s="22">
        <f t="shared" si="68"/>
        <v>325737.34301595058</v>
      </c>
      <c r="L361" s="22">
        <f t="shared" si="69"/>
        <v>486791.32806749153</v>
      </c>
    </row>
    <row r="362" spans="1:12" ht="14.25" customHeight="1" x14ac:dyDescent="0.2">
      <c r="A362" s="15">
        <f t="shared" si="64"/>
        <v>343</v>
      </c>
      <c r="B362" s="16">
        <f t="shared" si="59"/>
        <v>55335</v>
      </c>
      <c r="C362" s="20">
        <f t="shared" si="65"/>
        <v>40562.656984049609</v>
      </c>
      <c r="D362" s="20">
        <f t="shared" si="60"/>
        <v>2375.8148277293635</v>
      </c>
      <c r="E362" s="59">
        <f t="shared" si="66"/>
        <v>0</v>
      </c>
      <c r="F362" s="20">
        <f t="shared" si="61"/>
        <v>2375.8148277293635</v>
      </c>
      <c r="G362" s="20">
        <f t="shared" si="62"/>
        <v>2147.6498821940845</v>
      </c>
      <c r="H362" s="20">
        <f t="shared" si="67"/>
        <v>228.16494553527909</v>
      </c>
      <c r="I362" s="20">
        <f t="shared" si="63"/>
        <v>38415.007101855525</v>
      </c>
      <c r="J362" s="73"/>
      <c r="K362" s="22">
        <f t="shared" si="68"/>
        <v>327884.99289814464</v>
      </c>
      <c r="L362" s="22">
        <f t="shared" si="69"/>
        <v>487019.49301302683</v>
      </c>
    </row>
    <row r="363" spans="1:12" ht="14.25" customHeight="1" x14ac:dyDescent="0.2">
      <c r="A363" s="15">
        <f t="shared" si="64"/>
        <v>344</v>
      </c>
      <c r="B363" s="16">
        <f t="shared" si="59"/>
        <v>55366</v>
      </c>
      <c r="C363" s="20">
        <f t="shared" si="65"/>
        <v>38415.007101855525</v>
      </c>
      <c r="D363" s="20">
        <f t="shared" si="60"/>
        <v>2375.8148277293635</v>
      </c>
      <c r="E363" s="59">
        <f t="shared" si="66"/>
        <v>0</v>
      </c>
      <c r="F363" s="20">
        <f t="shared" si="61"/>
        <v>2375.8148277293635</v>
      </c>
      <c r="G363" s="20">
        <f t="shared" si="62"/>
        <v>2159.7304127814264</v>
      </c>
      <c r="H363" s="20">
        <f t="shared" si="67"/>
        <v>216.08441494793735</v>
      </c>
      <c r="I363" s="20">
        <f t="shared" si="63"/>
        <v>36255.276689074097</v>
      </c>
      <c r="J363" s="73"/>
      <c r="K363" s="22">
        <f t="shared" si="68"/>
        <v>330044.72331092606</v>
      </c>
      <c r="L363" s="22">
        <f t="shared" si="69"/>
        <v>487235.57742797479</v>
      </c>
    </row>
    <row r="364" spans="1:12" ht="14.25" customHeight="1" x14ac:dyDescent="0.2">
      <c r="A364" s="15">
        <f t="shared" si="64"/>
        <v>345</v>
      </c>
      <c r="B364" s="16">
        <f t="shared" si="59"/>
        <v>55397</v>
      </c>
      <c r="C364" s="20">
        <f t="shared" si="65"/>
        <v>36255.276689074097</v>
      </c>
      <c r="D364" s="20">
        <f t="shared" si="60"/>
        <v>2375.8148277293635</v>
      </c>
      <c r="E364" s="59">
        <f t="shared" si="66"/>
        <v>0</v>
      </c>
      <c r="F364" s="20">
        <f t="shared" si="61"/>
        <v>2375.8148277293635</v>
      </c>
      <c r="G364" s="20">
        <f t="shared" si="62"/>
        <v>2171.8788963533216</v>
      </c>
      <c r="H364" s="20">
        <f t="shared" si="67"/>
        <v>203.93593137604182</v>
      </c>
      <c r="I364" s="20">
        <f t="shared" si="63"/>
        <v>34083.397792720774</v>
      </c>
      <c r="J364" s="73"/>
      <c r="K364" s="22">
        <f t="shared" si="68"/>
        <v>332216.60220727936</v>
      </c>
      <c r="L364" s="22">
        <f t="shared" si="69"/>
        <v>487439.51335935085</v>
      </c>
    </row>
    <row r="365" spans="1:12" ht="14.25" customHeight="1" x14ac:dyDescent="0.2">
      <c r="A365" s="15">
        <f t="shared" si="64"/>
        <v>346</v>
      </c>
      <c r="B365" s="16">
        <f t="shared" si="59"/>
        <v>55427</v>
      </c>
      <c r="C365" s="20">
        <f t="shared" si="65"/>
        <v>34083.397792720774</v>
      </c>
      <c r="D365" s="20">
        <f t="shared" si="60"/>
        <v>2375.8148277293635</v>
      </c>
      <c r="E365" s="59">
        <f t="shared" si="66"/>
        <v>0</v>
      </c>
      <c r="F365" s="20">
        <f t="shared" si="61"/>
        <v>2375.8148277293635</v>
      </c>
      <c r="G365" s="20">
        <f t="shared" si="62"/>
        <v>2184.095715145309</v>
      </c>
      <c r="H365" s="20">
        <f t="shared" si="67"/>
        <v>191.71911258405439</v>
      </c>
      <c r="I365" s="20">
        <f t="shared" si="63"/>
        <v>31899.302077575467</v>
      </c>
      <c r="J365" s="73"/>
      <c r="K365" s="22">
        <f t="shared" si="68"/>
        <v>334400.69792242465</v>
      </c>
      <c r="L365" s="22">
        <f t="shared" si="69"/>
        <v>487631.23247193493</v>
      </c>
    </row>
    <row r="366" spans="1:12" ht="14.25" customHeight="1" x14ac:dyDescent="0.2">
      <c r="A366" s="15">
        <f t="shared" si="64"/>
        <v>347</v>
      </c>
      <c r="B366" s="16">
        <f t="shared" si="59"/>
        <v>55458</v>
      </c>
      <c r="C366" s="20">
        <f t="shared" si="65"/>
        <v>31899.302077575467</v>
      </c>
      <c r="D366" s="20">
        <f t="shared" si="60"/>
        <v>2375.8148277293635</v>
      </c>
      <c r="E366" s="59">
        <f t="shared" si="66"/>
        <v>0</v>
      </c>
      <c r="F366" s="20">
        <f t="shared" si="61"/>
        <v>2375.8148277293635</v>
      </c>
      <c r="G366" s="20">
        <f t="shared" si="62"/>
        <v>2196.3812535430015</v>
      </c>
      <c r="H366" s="20">
        <f t="shared" si="67"/>
        <v>179.43357418636199</v>
      </c>
      <c r="I366" s="20">
        <f t="shared" si="63"/>
        <v>29702.920824032466</v>
      </c>
      <c r="J366" s="73"/>
      <c r="K366" s="22">
        <f t="shared" si="68"/>
        <v>336597.07917596766</v>
      </c>
      <c r="L366" s="22">
        <f t="shared" si="69"/>
        <v>487810.66604612127</v>
      </c>
    </row>
    <row r="367" spans="1:12" ht="14.25" customHeight="1" x14ac:dyDescent="0.2">
      <c r="A367" s="15">
        <f t="shared" si="64"/>
        <v>348</v>
      </c>
      <c r="B367" s="16">
        <f t="shared" si="59"/>
        <v>55488</v>
      </c>
      <c r="C367" s="20">
        <f t="shared" si="65"/>
        <v>29702.920824032466</v>
      </c>
      <c r="D367" s="20">
        <f t="shared" si="60"/>
        <v>2375.8148277293635</v>
      </c>
      <c r="E367" s="59">
        <f t="shared" si="66"/>
        <v>0</v>
      </c>
      <c r="F367" s="20">
        <f t="shared" si="61"/>
        <v>2375.8148277293635</v>
      </c>
      <c r="G367" s="20">
        <f t="shared" si="62"/>
        <v>2208.7358980941808</v>
      </c>
      <c r="H367" s="20">
        <f t="shared" si="67"/>
        <v>167.07892963518262</v>
      </c>
      <c r="I367" s="20">
        <f t="shared" si="63"/>
        <v>27494.184925938287</v>
      </c>
      <c r="J367" s="73"/>
      <c r="K367" s="22">
        <f t="shared" si="68"/>
        <v>338805.81507406186</v>
      </c>
      <c r="L367" s="22">
        <f t="shared" si="69"/>
        <v>487977.74497575645</v>
      </c>
    </row>
    <row r="368" spans="1:12" ht="14.25" customHeight="1" x14ac:dyDescent="0.2">
      <c r="A368" s="15">
        <f t="shared" si="64"/>
        <v>349</v>
      </c>
      <c r="B368" s="16">
        <f t="shared" si="59"/>
        <v>55519</v>
      </c>
      <c r="C368" s="20">
        <f t="shared" si="65"/>
        <v>27494.184925938287</v>
      </c>
      <c r="D368" s="20">
        <f t="shared" si="60"/>
        <v>2375.8148277293635</v>
      </c>
      <c r="E368" s="59">
        <f t="shared" si="66"/>
        <v>0</v>
      </c>
      <c r="F368" s="20">
        <f t="shared" si="61"/>
        <v>2375.8148277293635</v>
      </c>
      <c r="G368" s="20">
        <f t="shared" si="62"/>
        <v>2221.1600375209605</v>
      </c>
      <c r="H368" s="20">
        <f t="shared" si="67"/>
        <v>154.65479020840289</v>
      </c>
      <c r="I368" s="20">
        <f t="shared" si="63"/>
        <v>25273.024888417327</v>
      </c>
      <c r="J368" s="73"/>
      <c r="K368" s="22">
        <f t="shared" si="68"/>
        <v>341026.97511158284</v>
      </c>
      <c r="L368" s="22">
        <f t="shared" si="69"/>
        <v>488132.39976596483</v>
      </c>
    </row>
    <row r="369" spans="1:12" ht="14.25" customHeight="1" x14ac:dyDescent="0.2">
      <c r="A369" s="15">
        <f t="shared" si="64"/>
        <v>350</v>
      </c>
      <c r="B369" s="16">
        <f t="shared" si="59"/>
        <v>55550</v>
      </c>
      <c r="C369" s="20">
        <f t="shared" si="65"/>
        <v>25273.024888417327</v>
      </c>
      <c r="D369" s="20">
        <f t="shared" si="60"/>
        <v>2375.8148277293635</v>
      </c>
      <c r="E369" s="59">
        <f t="shared" si="66"/>
        <v>0</v>
      </c>
      <c r="F369" s="20">
        <f t="shared" si="61"/>
        <v>2375.8148277293635</v>
      </c>
      <c r="G369" s="20">
        <f t="shared" si="62"/>
        <v>2233.654062732016</v>
      </c>
      <c r="H369" s="20">
        <f t="shared" si="67"/>
        <v>142.16076499734746</v>
      </c>
      <c r="I369" s="20">
        <f t="shared" si="63"/>
        <v>23039.37082568531</v>
      </c>
      <c r="J369" s="73"/>
      <c r="K369" s="22">
        <f t="shared" si="68"/>
        <v>343260.62917431485</v>
      </c>
      <c r="L369" s="22">
        <f t="shared" si="69"/>
        <v>488274.56053096219</v>
      </c>
    </row>
    <row r="370" spans="1:12" ht="14.25" customHeight="1" x14ac:dyDescent="0.2">
      <c r="A370" s="15">
        <f t="shared" si="64"/>
        <v>351</v>
      </c>
      <c r="B370" s="16">
        <f t="shared" si="59"/>
        <v>55579</v>
      </c>
      <c r="C370" s="20">
        <f t="shared" si="65"/>
        <v>23039.37082568531</v>
      </c>
      <c r="D370" s="20">
        <f t="shared" si="60"/>
        <v>2375.8148277293635</v>
      </c>
      <c r="E370" s="59">
        <f t="shared" si="66"/>
        <v>0</v>
      </c>
      <c r="F370" s="20">
        <f t="shared" si="61"/>
        <v>2375.8148277293635</v>
      </c>
      <c r="G370" s="20">
        <f t="shared" si="62"/>
        <v>2246.2183668348835</v>
      </c>
      <c r="H370" s="20">
        <f t="shared" si="67"/>
        <v>129.59646089447986</v>
      </c>
      <c r="I370" s="20">
        <f t="shared" si="63"/>
        <v>20793.152458850425</v>
      </c>
      <c r="J370" s="73"/>
      <c r="K370" s="22">
        <f t="shared" si="68"/>
        <v>345506.84754114971</v>
      </c>
      <c r="L370" s="22">
        <f t="shared" si="69"/>
        <v>488404.1569918567</v>
      </c>
    </row>
    <row r="371" spans="1:12" ht="14.25" customHeight="1" x14ac:dyDescent="0.2">
      <c r="A371" s="15">
        <f t="shared" si="64"/>
        <v>352</v>
      </c>
      <c r="B371" s="16">
        <f t="shared" si="59"/>
        <v>55610</v>
      </c>
      <c r="C371" s="20">
        <f t="shared" si="65"/>
        <v>20793.152458850425</v>
      </c>
      <c r="D371" s="20">
        <f t="shared" si="60"/>
        <v>2375.8148277293635</v>
      </c>
      <c r="E371" s="59">
        <f t="shared" si="66"/>
        <v>0</v>
      </c>
      <c r="F371" s="20">
        <f t="shared" si="61"/>
        <v>2375.8148277293635</v>
      </c>
      <c r="G371" s="20">
        <f t="shared" si="62"/>
        <v>2258.8533451483299</v>
      </c>
      <c r="H371" s="20">
        <f t="shared" si="67"/>
        <v>116.96148258103365</v>
      </c>
      <c r="I371" s="20">
        <f t="shared" si="63"/>
        <v>18534.299113702094</v>
      </c>
      <c r="J371" s="73"/>
      <c r="K371" s="22">
        <f t="shared" si="68"/>
        <v>347765.70088629803</v>
      </c>
      <c r="L371" s="22">
        <f t="shared" si="69"/>
        <v>488521.11847443774</v>
      </c>
    </row>
    <row r="372" spans="1:12" ht="14.25" customHeight="1" x14ac:dyDescent="0.2">
      <c r="A372" s="15">
        <f t="shared" si="64"/>
        <v>353</v>
      </c>
      <c r="B372" s="16">
        <f t="shared" si="59"/>
        <v>55640</v>
      </c>
      <c r="C372" s="20">
        <f t="shared" si="65"/>
        <v>18534.299113702094</v>
      </c>
      <c r="D372" s="20">
        <f t="shared" si="60"/>
        <v>2375.8148277293635</v>
      </c>
      <c r="E372" s="59">
        <f t="shared" si="66"/>
        <v>0</v>
      </c>
      <c r="F372" s="20">
        <f t="shared" si="61"/>
        <v>2375.8148277293635</v>
      </c>
      <c r="G372" s="20">
        <f t="shared" si="62"/>
        <v>2271.5593952147892</v>
      </c>
      <c r="H372" s="20">
        <f t="shared" si="67"/>
        <v>104.2554325145743</v>
      </c>
      <c r="I372" s="20">
        <f t="shared" si="63"/>
        <v>16262.739718487304</v>
      </c>
      <c r="J372" s="73"/>
      <c r="K372" s="22">
        <f t="shared" si="68"/>
        <v>350037.2602815128</v>
      </c>
      <c r="L372" s="22">
        <f t="shared" si="69"/>
        <v>488625.37390695233</v>
      </c>
    </row>
    <row r="373" spans="1:12" ht="14.25" customHeight="1" x14ac:dyDescent="0.2">
      <c r="A373" s="15">
        <f t="shared" si="64"/>
        <v>354</v>
      </c>
      <c r="B373" s="16">
        <f t="shared" si="59"/>
        <v>55671</v>
      </c>
      <c r="C373" s="20">
        <f t="shared" si="65"/>
        <v>16262.739718487304</v>
      </c>
      <c r="D373" s="20">
        <f t="shared" si="60"/>
        <v>2375.8148277293635</v>
      </c>
      <c r="E373" s="59">
        <f t="shared" si="66"/>
        <v>0</v>
      </c>
      <c r="F373" s="20">
        <f t="shared" si="61"/>
        <v>2375.8148277293635</v>
      </c>
      <c r="G373" s="20">
        <f t="shared" si="62"/>
        <v>2284.3369168128725</v>
      </c>
      <c r="H373" s="20">
        <f t="shared" si="67"/>
        <v>91.477910916491098</v>
      </c>
      <c r="I373" s="20">
        <f t="shared" si="63"/>
        <v>13978.402801674432</v>
      </c>
      <c r="J373" s="73"/>
      <c r="K373" s="22">
        <f t="shared" si="68"/>
        <v>352321.59719832567</v>
      </c>
      <c r="L373" s="22">
        <f t="shared" si="69"/>
        <v>488716.85181786882</v>
      </c>
    </row>
    <row r="374" spans="1:12" ht="14.25" customHeight="1" x14ac:dyDescent="0.2">
      <c r="A374" s="15">
        <f t="shared" si="64"/>
        <v>355</v>
      </c>
      <c r="B374" s="16">
        <f t="shared" si="59"/>
        <v>55701</v>
      </c>
      <c r="C374" s="20">
        <f t="shared" si="65"/>
        <v>13978.402801674432</v>
      </c>
      <c r="D374" s="20">
        <f t="shared" si="60"/>
        <v>2375.8148277293635</v>
      </c>
      <c r="E374" s="59">
        <f t="shared" si="66"/>
        <v>0</v>
      </c>
      <c r="F374" s="20">
        <f t="shared" si="61"/>
        <v>2375.8148277293635</v>
      </c>
      <c r="G374" s="20">
        <f t="shared" si="62"/>
        <v>2297.1863119699447</v>
      </c>
      <c r="H374" s="20">
        <f t="shared" si="67"/>
        <v>78.62851575941869</v>
      </c>
      <c r="I374" s="20">
        <f t="shared" si="63"/>
        <v>11681.216489704488</v>
      </c>
      <c r="J374" s="73"/>
      <c r="K374" s="22">
        <f t="shared" si="68"/>
        <v>354618.78351029562</v>
      </c>
      <c r="L374" s="22">
        <f t="shared" si="69"/>
        <v>488795.48033362825</v>
      </c>
    </row>
    <row r="375" spans="1:12" ht="14.25" customHeight="1" x14ac:dyDescent="0.2">
      <c r="A375" s="15">
        <f t="shared" si="64"/>
        <v>356</v>
      </c>
      <c r="B375" s="16">
        <f t="shared" si="59"/>
        <v>55732</v>
      </c>
      <c r="C375" s="20">
        <f t="shared" si="65"/>
        <v>11681.216489704488</v>
      </c>
      <c r="D375" s="20">
        <f t="shared" si="60"/>
        <v>2375.8148277293635</v>
      </c>
      <c r="E375" s="59">
        <f t="shared" si="66"/>
        <v>0</v>
      </c>
      <c r="F375" s="20">
        <f t="shared" si="61"/>
        <v>2375.8148277293635</v>
      </c>
      <c r="G375" s="20">
        <f t="shared" si="62"/>
        <v>2310.1079849747757</v>
      </c>
      <c r="H375" s="20">
        <f t="shared" si="67"/>
        <v>65.706842754587754</v>
      </c>
      <c r="I375" s="20">
        <f t="shared" si="63"/>
        <v>9371.1085047297129</v>
      </c>
      <c r="J375" s="73"/>
      <c r="K375" s="22">
        <f t="shared" si="68"/>
        <v>356928.89149527036</v>
      </c>
      <c r="L375" s="22">
        <f t="shared" si="69"/>
        <v>488861.18717638281</v>
      </c>
    </row>
    <row r="376" spans="1:12" ht="14.25" customHeight="1" x14ac:dyDescent="0.2">
      <c r="A376" s="15">
        <f t="shared" si="64"/>
        <v>357</v>
      </c>
      <c r="B376" s="16">
        <f t="shared" si="59"/>
        <v>55763</v>
      </c>
      <c r="C376" s="20">
        <f t="shared" si="65"/>
        <v>9371.1085047297129</v>
      </c>
      <c r="D376" s="20">
        <f t="shared" si="60"/>
        <v>2375.8148277293635</v>
      </c>
      <c r="E376" s="59">
        <f t="shared" si="66"/>
        <v>0</v>
      </c>
      <c r="F376" s="20">
        <f t="shared" si="61"/>
        <v>2375.8148277293635</v>
      </c>
      <c r="G376" s="20">
        <f t="shared" si="62"/>
        <v>2323.1023423902589</v>
      </c>
      <c r="H376" s="20">
        <f t="shared" si="67"/>
        <v>52.712485339104639</v>
      </c>
      <c r="I376" s="20">
        <f t="shared" si="63"/>
        <v>7048.006162339454</v>
      </c>
      <c r="J376" s="73"/>
      <c r="K376" s="22">
        <f t="shared" si="68"/>
        <v>359251.99383766064</v>
      </c>
      <c r="L376" s="22">
        <f t="shared" si="69"/>
        <v>488913.89966172189</v>
      </c>
    </row>
    <row r="377" spans="1:12" ht="14.25" customHeight="1" x14ac:dyDescent="0.2">
      <c r="A377" s="15">
        <f t="shared" si="64"/>
        <v>358</v>
      </c>
      <c r="B377" s="16">
        <f t="shared" si="59"/>
        <v>55793</v>
      </c>
      <c r="C377" s="20">
        <f t="shared" si="65"/>
        <v>7048.006162339454</v>
      </c>
      <c r="D377" s="20">
        <f t="shared" si="60"/>
        <v>2375.8148277293635</v>
      </c>
      <c r="E377" s="59">
        <f t="shared" si="66"/>
        <v>0</v>
      </c>
      <c r="F377" s="20">
        <f t="shared" si="61"/>
        <v>2375.8148277293635</v>
      </c>
      <c r="G377" s="20">
        <f t="shared" si="62"/>
        <v>2336.169793066204</v>
      </c>
      <c r="H377" s="20">
        <f t="shared" si="67"/>
        <v>39.645034663159429</v>
      </c>
      <c r="I377" s="20">
        <f t="shared" si="63"/>
        <v>4711.8363692732501</v>
      </c>
      <c r="J377" s="73"/>
      <c r="K377" s="22">
        <f t="shared" si="68"/>
        <v>361588.16363072686</v>
      </c>
      <c r="L377" s="22">
        <f t="shared" si="69"/>
        <v>488953.54469638504</v>
      </c>
    </row>
    <row r="378" spans="1:12" ht="14.25" customHeight="1" x14ac:dyDescent="0.2">
      <c r="A378" s="15">
        <f t="shared" si="64"/>
        <v>359</v>
      </c>
      <c r="B378" s="16">
        <f t="shared" si="59"/>
        <v>55824</v>
      </c>
      <c r="C378" s="20">
        <f t="shared" si="65"/>
        <v>4711.8363692732501</v>
      </c>
      <c r="D378" s="20">
        <f t="shared" si="60"/>
        <v>2375.8148277293635</v>
      </c>
      <c r="E378" s="59">
        <f t="shared" si="66"/>
        <v>0</v>
      </c>
      <c r="F378" s="20">
        <f t="shared" si="61"/>
        <v>2375.8148277293635</v>
      </c>
      <c r="G378" s="20">
        <f t="shared" si="62"/>
        <v>2349.3107481522015</v>
      </c>
      <c r="H378" s="20">
        <f t="shared" si="67"/>
        <v>26.504079577162031</v>
      </c>
      <c r="I378" s="20">
        <f t="shared" si="63"/>
        <v>2362.5256211210485</v>
      </c>
      <c r="J378" s="73"/>
      <c r="K378" s="22">
        <f t="shared" si="68"/>
        <v>363937.47437887907</v>
      </c>
      <c r="L378" s="22">
        <f t="shared" si="69"/>
        <v>488980.0487759622</v>
      </c>
    </row>
    <row r="379" spans="1:12" ht="14.25" customHeight="1" x14ac:dyDescent="0.2">
      <c r="A379" s="15">
        <f t="shared" si="64"/>
        <v>360</v>
      </c>
      <c r="B379" s="16">
        <f t="shared" si="59"/>
        <v>55854</v>
      </c>
      <c r="C379" s="20">
        <f t="shared" si="65"/>
        <v>2362.5256211210485</v>
      </c>
      <c r="D379" s="20">
        <f t="shared" si="60"/>
        <v>2375.8148277293635</v>
      </c>
      <c r="E379" s="59">
        <f t="shared" si="66"/>
        <v>0</v>
      </c>
      <c r="F379" s="20">
        <f t="shared" si="61"/>
        <v>2362.5256211210485</v>
      </c>
      <c r="G379" s="20">
        <f t="shared" si="62"/>
        <v>2349.2364145022425</v>
      </c>
      <c r="H379" s="20">
        <f t="shared" si="67"/>
        <v>13.289206618805899</v>
      </c>
      <c r="I379" s="20">
        <f t="shared" si="63"/>
        <v>0</v>
      </c>
      <c r="J379" s="73"/>
      <c r="K379" s="22">
        <f t="shared" si="68"/>
        <v>366286.71079338132</v>
      </c>
      <c r="L379" s="22">
        <f t="shared" si="69"/>
        <v>488993.337982581</v>
      </c>
    </row>
    <row r="380" spans="1:12" x14ac:dyDescent="0.2">
      <c r="C380" s="28"/>
      <c r="D380" s="28"/>
      <c r="E380" s="33"/>
      <c r="F380" s="28"/>
      <c r="G380" s="28"/>
      <c r="H380" s="28"/>
      <c r="I380" s="28"/>
      <c r="J380" s="73"/>
      <c r="K380" s="21"/>
      <c r="L380" s="21"/>
    </row>
    <row r="381" spans="1:12" x14ac:dyDescent="0.2">
      <c r="C381" s="28"/>
      <c r="D381" s="28"/>
      <c r="E381" s="33"/>
      <c r="F381" s="28"/>
      <c r="G381" s="28"/>
      <c r="H381" s="28"/>
      <c r="I381" s="28"/>
      <c r="J381" s="73"/>
      <c r="K381" s="21"/>
      <c r="L381" s="21"/>
    </row>
    <row r="382" spans="1:12" x14ac:dyDescent="0.2">
      <c r="C382" s="28"/>
      <c r="D382" s="28"/>
      <c r="E382" s="33"/>
      <c r="F382" s="28"/>
      <c r="G382" s="28"/>
      <c r="H382" s="28"/>
      <c r="I382" s="28"/>
      <c r="J382" s="73"/>
      <c r="K382" s="21"/>
      <c r="L382" s="21"/>
    </row>
    <row r="383" spans="1:12" x14ac:dyDescent="0.2">
      <c r="C383" s="28"/>
      <c r="D383" s="28"/>
      <c r="E383" s="33"/>
      <c r="F383" s="28"/>
      <c r="G383" s="28"/>
      <c r="H383" s="28"/>
      <c r="I383" s="28"/>
      <c r="J383" s="73"/>
      <c r="K383" s="21"/>
      <c r="L383" s="21"/>
    </row>
    <row r="384" spans="1:12" x14ac:dyDescent="0.2">
      <c r="C384" s="28"/>
      <c r="D384" s="28"/>
      <c r="E384" s="33"/>
      <c r="F384" s="28"/>
      <c r="G384" s="28"/>
      <c r="H384" s="28"/>
      <c r="I384" s="28"/>
      <c r="J384" s="73"/>
      <c r="K384" s="21"/>
      <c r="L384" s="21"/>
    </row>
    <row r="385" spans="3:12" x14ac:dyDescent="0.2">
      <c r="C385" s="28"/>
      <c r="D385" s="28"/>
      <c r="E385" s="33"/>
      <c r="F385" s="28"/>
      <c r="G385" s="28"/>
      <c r="H385" s="28"/>
      <c r="I385" s="28"/>
      <c r="J385" s="73"/>
      <c r="K385" s="21"/>
      <c r="L385" s="21"/>
    </row>
    <row r="386" spans="3:12" x14ac:dyDescent="0.2">
      <c r="C386" s="28"/>
      <c r="D386" s="28"/>
      <c r="E386" s="33"/>
      <c r="F386" s="28"/>
      <c r="G386" s="28"/>
      <c r="H386" s="28"/>
      <c r="I386" s="28"/>
      <c r="J386" s="73"/>
      <c r="K386" s="21"/>
      <c r="L386" s="21"/>
    </row>
    <row r="387" spans="3:12" x14ac:dyDescent="0.2">
      <c r="C387" s="28"/>
      <c r="D387" s="28"/>
      <c r="E387" s="33"/>
      <c r="F387" s="28"/>
      <c r="G387" s="28"/>
      <c r="H387" s="28"/>
      <c r="I387" s="28"/>
      <c r="J387" s="73"/>
      <c r="K387" s="21"/>
      <c r="L387" s="21"/>
    </row>
    <row r="388" spans="3:12" x14ac:dyDescent="0.2">
      <c r="C388" s="28"/>
      <c r="D388" s="28"/>
      <c r="E388" s="33"/>
      <c r="F388" s="28"/>
      <c r="G388" s="28"/>
      <c r="H388" s="28"/>
      <c r="I388" s="28"/>
      <c r="J388" s="73"/>
      <c r="K388" s="21"/>
      <c r="L388" s="21"/>
    </row>
    <row r="389" spans="3:12" x14ac:dyDescent="0.2">
      <c r="C389" s="28"/>
      <c r="D389" s="28"/>
      <c r="E389" s="33"/>
      <c r="F389" s="28"/>
      <c r="G389" s="28"/>
      <c r="H389" s="28"/>
      <c r="I389" s="28"/>
      <c r="J389" s="73"/>
      <c r="K389" s="21"/>
      <c r="L389" s="21"/>
    </row>
    <row r="390" spans="3:12" x14ac:dyDescent="0.2">
      <c r="C390" s="28"/>
      <c r="D390" s="28"/>
      <c r="E390" s="33"/>
      <c r="F390" s="28"/>
      <c r="G390" s="28"/>
      <c r="H390" s="28"/>
      <c r="I390" s="28"/>
      <c r="J390" s="73"/>
      <c r="K390" s="21"/>
      <c r="L390" s="21"/>
    </row>
    <row r="391" spans="3:12" x14ac:dyDescent="0.2">
      <c r="C391" s="28"/>
      <c r="D391" s="28"/>
      <c r="E391" s="33"/>
      <c r="F391" s="28"/>
      <c r="G391" s="28"/>
      <c r="H391" s="28"/>
      <c r="I391" s="28"/>
      <c r="J391" s="73"/>
      <c r="K391" s="21"/>
      <c r="L391" s="21"/>
    </row>
    <row r="392" spans="3:12" x14ac:dyDescent="0.2">
      <c r="C392" s="28"/>
      <c r="D392" s="28"/>
      <c r="E392" s="33"/>
      <c r="F392" s="28"/>
      <c r="G392" s="28"/>
      <c r="H392" s="28"/>
      <c r="I392" s="28"/>
      <c r="J392" s="73"/>
      <c r="K392" s="21"/>
      <c r="L392" s="21"/>
    </row>
    <row r="393" spans="3:12" x14ac:dyDescent="0.2">
      <c r="C393" s="28"/>
      <c r="D393" s="28"/>
      <c r="E393" s="33"/>
      <c r="F393" s="28"/>
      <c r="G393" s="28"/>
      <c r="H393" s="28"/>
      <c r="I393" s="28"/>
      <c r="J393" s="73"/>
      <c r="K393" s="21"/>
      <c r="L393" s="21"/>
    </row>
    <row r="394" spans="3:12" x14ac:dyDescent="0.2">
      <c r="C394" s="28"/>
      <c r="D394" s="28"/>
      <c r="E394" s="33"/>
      <c r="F394" s="28"/>
      <c r="G394" s="28"/>
      <c r="H394" s="28"/>
      <c r="I394" s="28"/>
      <c r="J394" s="73"/>
      <c r="K394" s="21"/>
      <c r="L394" s="21"/>
    </row>
    <row r="395" spans="3:12" x14ac:dyDescent="0.2">
      <c r="C395" s="28"/>
      <c r="D395" s="28"/>
      <c r="E395" s="33"/>
      <c r="F395" s="28"/>
      <c r="G395" s="28"/>
      <c r="H395" s="28"/>
      <c r="I395" s="28"/>
      <c r="J395" s="73"/>
      <c r="K395" s="21"/>
      <c r="L395" s="21"/>
    </row>
    <row r="396" spans="3:12" x14ac:dyDescent="0.2">
      <c r="C396" s="28"/>
      <c r="D396" s="28"/>
      <c r="E396" s="33"/>
      <c r="F396" s="28"/>
      <c r="G396" s="28"/>
      <c r="H396" s="28"/>
      <c r="I396" s="28"/>
      <c r="J396" s="73"/>
      <c r="K396" s="21"/>
      <c r="L396" s="21"/>
    </row>
    <row r="397" spans="3:12" x14ac:dyDescent="0.2">
      <c r="C397" s="28"/>
      <c r="D397" s="28"/>
      <c r="E397" s="33"/>
      <c r="F397" s="28"/>
      <c r="G397" s="28"/>
      <c r="H397" s="28"/>
      <c r="I397" s="28"/>
      <c r="J397" s="73"/>
      <c r="K397" s="21"/>
      <c r="L397" s="21"/>
    </row>
    <row r="398" spans="3:12" x14ac:dyDescent="0.2">
      <c r="C398" s="28"/>
      <c r="D398" s="28"/>
      <c r="E398" s="33"/>
      <c r="F398" s="28"/>
      <c r="G398" s="28"/>
      <c r="H398" s="28"/>
      <c r="I398" s="28"/>
      <c r="J398" s="73"/>
      <c r="K398" s="21"/>
      <c r="L398" s="21"/>
    </row>
    <row r="399" spans="3:12" x14ac:dyDescent="0.2">
      <c r="C399" s="28"/>
      <c r="D399" s="28"/>
      <c r="E399" s="33"/>
      <c r="F399" s="28"/>
      <c r="G399" s="28"/>
      <c r="H399" s="28"/>
      <c r="I399" s="28"/>
      <c r="J399" s="73"/>
      <c r="K399" s="21"/>
      <c r="L399" s="21"/>
    </row>
    <row r="400" spans="3:12" x14ac:dyDescent="0.2">
      <c r="C400" s="28"/>
      <c r="D400" s="28"/>
      <c r="E400" s="33"/>
      <c r="F400" s="28"/>
      <c r="G400" s="28"/>
      <c r="H400" s="28"/>
      <c r="I400" s="28"/>
      <c r="J400" s="73"/>
      <c r="K400" s="21"/>
      <c r="L400" s="21"/>
    </row>
    <row r="401" spans="3:12" x14ac:dyDescent="0.2">
      <c r="C401" s="28"/>
      <c r="D401" s="28"/>
      <c r="E401" s="33"/>
      <c r="F401" s="28"/>
      <c r="G401" s="28"/>
      <c r="H401" s="28"/>
      <c r="I401" s="28"/>
      <c r="J401" s="73"/>
      <c r="K401" s="21"/>
      <c r="L401" s="21"/>
    </row>
    <row r="402" spans="3:12" x14ac:dyDescent="0.2">
      <c r="C402" s="28"/>
      <c r="D402" s="28"/>
      <c r="E402" s="33"/>
      <c r="F402" s="28"/>
      <c r="G402" s="28"/>
      <c r="H402" s="28"/>
      <c r="I402" s="28"/>
      <c r="J402" s="73"/>
      <c r="K402" s="21"/>
      <c r="L402" s="21"/>
    </row>
    <row r="403" spans="3:12" x14ac:dyDescent="0.2">
      <c r="C403" s="28"/>
      <c r="D403" s="28"/>
      <c r="E403" s="33"/>
      <c r="F403" s="28"/>
      <c r="G403" s="28"/>
      <c r="H403" s="28"/>
      <c r="I403" s="28"/>
      <c r="J403" s="73"/>
      <c r="K403" s="21"/>
      <c r="L403" s="21"/>
    </row>
    <row r="404" spans="3:12" x14ac:dyDescent="0.2">
      <c r="C404" s="28"/>
      <c r="D404" s="28"/>
      <c r="E404" s="33"/>
      <c r="F404" s="28"/>
      <c r="G404" s="28"/>
      <c r="H404" s="28"/>
      <c r="I404" s="28"/>
      <c r="J404" s="73"/>
      <c r="K404" s="21"/>
      <c r="L404" s="21"/>
    </row>
    <row r="405" spans="3:12" x14ac:dyDescent="0.2">
      <c r="C405" s="28"/>
      <c r="D405" s="28"/>
      <c r="E405" s="33"/>
      <c r="F405" s="28"/>
      <c r="G405" s="28"/>
      <c r="H405" s="28"/>
      <c r="I405" s="28"/>
      <c r="J405" s="73"/>
      <c r="K405" s="21"/>
      <c r="L405" s="21"/>
    </row>
    <row r="406" spans="3:12" x14ac:dyDescent="0.2">
      <c r="C406" s="28"/>
      <c r="D406" s="28"/>
      <c r="E406" s="33"/>
      <c r="F406" s="28"/>
      <c r="G406" s="28"/>
      <c r="H406" s="28"/>
      <c r="I406" s="28"/>
      <c r="J406" s="73"/>
      <c r="K406" s="21"/>
      <c r="L406" s="21"/>
    </row>
    <row r="407" spans="3:12" x14ac:dyDescent="0.2">
      <c r="C407" s="28"/>
      <c r="D407" s="28"/>
      <c r="E407" s="33"/>
      <c r="F407" s="28"/>
      <c r="G407" s="28"/>
      <c r="H407" s="28"/>
      <c r="I407" s="28"/>
      <c r="J407" s="73"/>
      <c r="K407" s="21"/>
      <c r="L407" s="21"/>
    </row>
    <row r="408" spans="3:12" x14ac:dyDescent="0.2">
      <c r="C408" s="28"/>
      <c r="D408" s="28"/>
      <c r="E408" s="33"/>
      <c r="F408" s="28"/>
      <c r="G408" s="28"/>
      <c r="H408" s="28"/>
      <c r="I408" s="28"/>
      <c r="J408" s="73"/>
      <c r="K408" s="21"/>
      <c r="L408" s="21"/>
    </row>
    <row r="409" spans="3:12" x14ac:dyDescent="0.2">
      <c r="C409" s="28"/>
      <c r="D409" s="28"/>
      <c r="E409" s="33"/>
      <c r="F409" s="28"/>
      <c r="G409" s="28"/>
      <c r="H409" s="28"/>
      <c r="I409" s="28"/>
      <c r="J409" s="73"/>
      <c r="K409" s="21"/>
      <c r="L409" s="21"/>
    </row>
    <row r="410" spans="3:12" x14ac:dyDescent="0.2">
      <c r="C410" s="28"/>
      <c r="D410" s="28"/>
      <c r="E410" s="33"/>
      <c r="F410" s="28"/>
      <c r="G410" s="28"/>
      <c r="H410" s="28"/>
      <c r="I410" s="28"/>
      <c r="J410" s="73"/>
      <c r="K410" s="21"/>
      <c r="L410" s="21"/>
    </row>
    <row r="411" spans="3:12" x14ac:dyDescent="0.2">
      <c r="C411" s="28"/>
      <c r="D411" s="28"/>
      <c r="E411" s="33"/>
      <c r="F411" s="28"/>
      <c r="G411" s="28"/>
      <c r="H411" s="28"/>
      <c r="I411" s="28"/>
      <c r="J411" s="73"/>
      <c r="K411" s="21"/>
      <c r="L411" s="21"/>
    </row>
    <row r="412" spans="3:12" x14ac:dyDescent="0.2">
      <c r="C412" s="28"/>
      <c r="D412" s="28"/>
      <c r="E412" s="33"/>
      <c r="F412" s="28"/>
      <c r="G412" s="28"/>
      <c r="H412" s="28"/>
      <c r="I412" s="28"/>
      <c r="J412" s="73"/>
      <c r="K412" s="21"/>
      <c r="L412" s="21"/>
    </row>
    <row r="413" spans="3:12" x14ac:dyDescent="0.2">
      <c r="C413" s="28"/>
      <c r="D413" s="28"/>
      <c r="E413" s="33"/>
      <c r="F413" s="28"/>
      <c r="G413" s="28"/>
      <c r="H413" s="28"/>
      <c r="I413" s="28"/>
      <c r="J413" s="73"/>
      <c r="K413" s="21"/>
      <c r="L413" s="21"/>
    </row>
    <row r="414" spans="3:12" x14ac:dyDescent="0.2">
      <c r="C414" s="28"/>
      <c r="D414" s="28"/>
      <c r="E414" s="33"/>
      <c r="F414" s="28"/>
      <c r="G414" s="28"/>
      <c r="H414" s="28"/>
      <c r="I414" s="28"/>
      <c r="J414" s="73"/>
      <c r="K414" s="21"/>
      <c r="L414" s="21"/>
    </row>
    <row r="415" spans="3:12" x14ac:dyDescent="0.2">
      <c r="C415" s="28"/>
      <c r="D415" s="28"/>
      <c r="E415" s="33"/>
      <c r="F415" s="28"/>
      <c r="G415" s="28"/>
      <c r="H415" s="28"/>
      <c r="I415" s="28"/>
      <c r="J415" s="73"/>
      <c r="K415" s="21"/>
      <c r="L415" s="21"/>
    </row>
    <row r="416" spans="3:12" x14ac:dyDescent="0.2">
      <c r="C416" s="28"/>
      <c r="D416" s="28"/>
      <c r="E416" s="33"/>
      <c r="F416" s="28"/>
      <c r="G416" s="28"/>
      <c r="H416" s="28"/>
      <c r="I416" s="28"/>
      <c r="J416" s="73"/>
      <c r="K416" s="21"/>
      <c r="L416" s="21"/>
    </row>
    <row r="417" spans="3:12" x14ac:dyDescent="0.2">
      <c r="C417" s="28"/>
      <c r="D417" s="28"/>
      <c r="E417" s="33"/>
      <c r="F417" s="28"/>
      <c r="G417" s="28"/>
      <c r="H417" s="28"/>
      <c r="I417" s="28"/>
      <c r="J417" s="73"/>
      <c r="K417" s="21"/>
      <c r="L417" s="21"/>
    </row>
    <row r="418" spans="3:12" x14ac:dyDescent="0.2">
      <c r="C418" s="28"/>
      <c r="D418" s="28"/>
      <c r="E418" s="33"/>
      <c r="F418" s="28"/>
      <c r="G418" s="28"/>
      <c r="H418" s="28"/>
      <c r="I418" s="28"/>
      <c r="J418" s="73"/>
      <c r="K418" s="21"/>
      <c r="L418" s="21"/>
    </row>
    <row r="419" spans="3:12" x14ac:dyDescent="0.2">
      <c r="C419" s="28"/>
      <c r="D419" s="28"/>
      <c r="E419" s="33"/>
      <c r="F419" s="28"/>
      <c r="G419" s="28"/>
      <c r="H419" s="28"/>
      <c r="I419" s="28"/>
      <c r="J419" s="73"/>
      <c r="K419" s="21"/>
      <c r="L419" s="21"/>
    </row>
    <row r="420" spans="3:12" x14ac:dyDescent="0.2">
      <c r="C420" s="28"/>
      <c r="D420" s="28"/>
      <c r="E420" s="33"/>
      <c r="F420" s="28"/>
      <c r="G420" s="28"/>
      <c r="H420" s="28"/>
      <c r="I420" s="28"/>
      <c r="J420" s="73"/>
      <c r="K420" s="21"/>
      <c r="L420" s="21"/>
    </row>
    <row r="421" spans="3:12" x14ac:dyDescent="0.2">
      <c r="C421" s="28"/>
      <c r="D421" s="28"/>
      <c r="E421" s="33"/>
      <c r="F421" s="28"/>
      <c r="G421" s="28"/>
      <c r="H421" s="28"/>
      <c r="I421" s="28"/>
      <c r="J421" s="73"/>
      <c r="K421" s="21"/>
      <c r="L421" s="21"/>
    </row>
    <row r="422" spans="3:12" x14ac:dyDescent="0.2">
      <c r="C422" s="28"/>
      <c r="D422" s="28"/>
      <c r="E422" s="33"/>
      <c r="F422" s="28"/>
      <c r="G422" s="28"/>
      <c r="H422" s="28"/>
      <c r="I422" s="28"/>
      <c r="J422" s="73"/>
      <c r="K422" s="21"/>
      <c r="L422" s="21"/>
    </row>
    <row r="423" spans="3:12" x14ac:dyDescent="0.2">
      <c r="C423" s="28"/>
      <c r="D423" s="28"/>
      <c r="E423" s="33"/>
      <c r="F423" s="28"/>
      <c r="G423" s="28"/>
      <c r="H423" s="28"/>
      <c r="I423" s="28"/>
      <c r="J423" s="73"/>
      <c r="K423" s="21"/>
      <c r="L423" s="21"/>
    </row>
    <row r="424" spans="3:12" x14ac:dyDescent="0.2">
      <c r="C424" s="28"/>
      <c r="D424" s="28"/>
      <c r="E424" s="33"/>
      <c r="F424" s="28"/>
      <c r="G424" s="28"/>
      <c r="H424" s="28"/>
      <c r="I424" s="28"/>
      <c r="J424" s="73"/>
      <c r="K424" s="21"/>
      <c r="L424" s="21"/>
    </row>
    <row r="425" spans="3:12" x14ac:dyDescent="0.2">
      <c r="C425" s="28"/>
      <c r="D425" s="28"/>
      <c r="E425" s="33"/>
      <c r="F425" s="28"/>
      <c r="G425" s="28"/>
      <c r="H425" s="28"/>
      <c r="I425" s="28"/>
      <c r="J425" s="73"/>
      <c r="K425" s="21"/>
      <c r="L425" s="21"/>
    </row>
    <row r="426" spans="3:12" x14ac:dyDescent="0.2">
      <c r="C426" s="28"/>
      <c r="D426" s="28"/>
      <c r="E426" s="33"/>
      <c r="F426" s="28"/>
      <c r="G426" s="28"/>
      <c r="H426" s="28"/>
      <c r="I426" s="28"/>
      <c r="J426" s="73"/>
      <c r="K426" s="21"/>
      <c r="L426" s="21"/>
    </row>
    <row r="427" spans="3:12" x14ac:dyDescent="0.2">
      <c r="C427" s="28"/>
      <c r="D427" s="28"/>
      <c r="E427" s="33"/>
      <c r="F427" s="28"/>
      <c r="G427" s="28"/>
      <c r="H427" s="28"/>
      <c r="I427" s="28"/>
      <c r="J427" s="73"/>
      <c r="K427" s="21"/>
      <c r="L427" s="21"/>
    </row>
    <row r="428" spans="3:12" x14ac:dyDescent="0.2">
      <c r="C428" s="28"/>
      <c r="D428" s="28"/>
      <c r="E428" s="33"/>
      <c r="F428" s="28"/>
      <c r="G428" s="28"/>
      <c r="H428" s="28"/>
      <c r="I428" s="28"/>
      <c r="J428" s="73"/>
      <c r="K428" s="21"/>
      <c r="L428" s="21"/>
    </row>
    <row r="429" spans="3:12" x14ac:dyDescent="0.2">
      <c r="C429" s="28"/>
      <c r="D429" s="28"/>
      <c r="E429" s="33"/>
      <c r="F429" s="28"/>
      <c r="G429" s="28"/>
      <c r="H429" s="28"/>
      <c r="I429" s="28"/>
      <c r="J429" s="73"/>
      <c r="K429" s="21"/>
      <c r="L429" s="21"/>
    </row>
    <row r="430" spans="3:12" x14ac:dyDescent="0.2">
      <c r="C430" s="28"/>
      <c r="D430" s="28"/>
      <c r="E430" s="33"/>
      <c r="F430" s="28"/>
      <c r="G430" s="28"/>
      <c r="H430" s="28"/>
      <c r="I430" s="28"/>
      <c r="J430" s="73"/>
      <c r="K430" s="21"/>
      <c r="L430" s="21"/>
    </row>
    <row r="431" spans="3:12" x14ac:dyDescent="0.2">
      <c r="C431" s="28"/>
      <c r="D431" s="28"/>
      <c r="E431" s="33"/>
      <c r="F431" s="28"/>
      <c r="G431" s="28"/>
      <c r="H431" s="28"/>
      <c r="I431" s="28"/>
      <c r="J431" s="73"/>
      <c r="K431" s="21"/>
      <c r="L431" s="21"/>
    </row>
    <row r="432" spans="3:12" x14ac:dyDescent="0.2">
      <c r="C432" s="28"/>
      <c r="D432" s="28"/>
      <c r="E432" s="33"/>
      <c r="F432" s="28"/>
      <c r="G432" s="28"/>
      <c r="H432" s="28"/>
      <c r="I432" s="28"/>
      <c r="J432" s="73"/>
      <c r="K432" s="21"/>
      <c r="L432" s="21"/>
    </row>
  </sheetData>
  <sheetProtection algorithmName="SHA-512" hashValue="zaJCQT3RwCfTBn70V4vj2Y3GMETojsEUKAMAsoTsysqka4rZ7v3PlOaDotLmfGnksEWQJE3NYBau2ZLQyTiGqg==" saltValue="CujB5FBLT9Vix3zV5o5Pug==" spinCount="100000" sheet="1" insertHyperlinks="0" selectLockedCells="1"/>
  <mergeCells count="16">
    <mergeCell ref="U19:X19"/>
    <mergeCell ref="U18:X18"/>
    <mergeCell ref="A1:I2"/>
    <mergeCell ref="B5:D5"/>
    <mergeCell ref="AE13:AG13"/>
    <mergeCell ref="F14:G14"/>
    <mergeCell ref="A15:E15"/>
    <mergeCell ref="F5:H5"/>
    <mergeCell ref="K5:L5"/>
    <mergeCell ref="F9:H9"/>
    <mergeCell ref="F10:G10"/>
    <mergeCell ref="F11:G11"/>
    <mergeCell ref="F12:G12"/>
    <mergeCell ref="F13:G13"/>
    <mergeCell ref="F15:G15"/>
    <mergeCell ref="K1:L1"/>
  </mergeCells>
  <conditionalFormatting sqref="A20:D379">
    <cfRule type="expression" dxfId="13" priority="10" stopIfTrue="1">
      <formula>IF(ROW(A20)&gt;Last_Row,TRUE, FALSE)</formula>
    </cfRule>
    <cfRule type="expression" dxfId="12" priority="11" stopIfTrue="1">
      <formula>IF(ROW(A20)=Last_Row,TRUE, FALSE)</formula>
    </cfRule>
    <cfRule type="expression" dxfId="11" priority="12" stopIfTrue="1">
      <formula>IF(ROW(A20)&lt;Last_Row,TRUE, FALSE)</formula>
    </cfRule>
  </conditionalFormatting>
  <conditionalFormatting sqref="F20:I379">
    <cfRule type="expression" dxfId="10" priority="7" stopIfTrue="1">
      <formula>IF(ROW(F20)&gt;Last_Row,TRUE, FALSE)</formula>
    </cfRule>
    <cfRule type="expression" dxfId="9" priority="8" stopIfTrue="1">
      <formula>IF(ROW(F20)=Last_Row,TRUE, FALSE)</formula>
    </cfRule>
    <cfRule type="expression" dxfId="8" priority="9" stopIfTrue="1">
      <formula>IF(ROW(F20)&lt;=Last_Row,TRUE, FALSE)</formula>
    </cfRule>
  </conditionalFormatting>
  <conditionalFormatting sqref="E20:E379">
    <cfRule type="expression" dxfId="7" priority="5" stopIfTrue="1">
      <formula>IF(ROW(E20)&gt;Last_Row,TRUE, FALSE)</formula>
    </cfRule>
    <cfRule type="expression" dxfId="6" priority="6" stopIfTrue="1">
      <formula>IF(ROW(E20)=Last_Row,TRUE, FALSE)</formula>
    </cfRule>
  </conditionalFormatting>
  <conditionalFormatting sqref="H8">
    <cfRule type="expression" dxfId="5" priority="17">
      <formula>$H$7="VA"</formula>
    </cfRule>
    <cfRule type="expression" dxfId="4" priority="18">
      <formula>$H$7&lt;&gt;"VA"</formula>
    </cfRule>
  </conditionalFormatting>
  <conditionalFormatting sqref="D8">
    <cfRule type="expression" dxfId="3" priority="1">
      <formula>($D$8="")</formula>
    </cfRule>
  </conditionalFormatting>
  <conditionalFormatting sqref="A15">
    <cfRule type="expression" dxfId="2" priority="19">
      <formula>$A$15&lt;&gt;""</formula>
    </cfRule>
  </conditionalFormatting>
  <dataValidations count="6"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3" xr:uid="{00000000-0002-0000-0000-000001000000}"/>
    <dataValidation type="list" allowBlank="1" showInputMessage="1" showErrorMessage="1" sqref="H7" xr:uid="{954BA4C0-1B3F-4381-809A-43076FE7E4F0}">
      <formula1>$AE$25:$AE$28</formula1>
    </dataValidation>
    <dataValidation type="date" operator="greaterThanOrEqual" allowBlank="1" showInputMessage="1" showErrorMessage="1" errorTitle="Date" error="Please enter a valid date greater than or equal to January 1, 1900." sqref="D12 AG21" xr:uid="{00000000-0002-0000-0000-000000000000}">
      <formula1>1</formula1>
    </dataValidation>
    <dataValidation type="list" allowBlank="1" showInputMessage="1" showErrorMessage="1" sqref="H8" xr:uid="{C030F1DA-9482-4876-9B62-D4287F4FF252}">
      <formula1>$AE$8:$AE$10</formula1>
    </dataValidation>
    <dataValidation type="whole" allowBlank="1" showInputMessage="1" showErrorMessage="1" errorTitle="Error" error="Value must between 1 and 30" sqref="D11" xr:uid="{075CFEED-9125-4748-B289-0351DBA9E641}">
      <formula1>1</formula1>
      <formula2>30</formula2>
    </dataValidation>
    <dataValidation type="list" allowBlank="1" showInputMessage="1" showErrorMessage="1" sqref="H6" xr:uid="{FB3ED20B-F478-480E-A7E4-EA06224B8603}">
      <formula1>$AE$4:$AE$6</formula1>
    </dataValidation>
  </dataValidations>
  <hyperlinks>
    <hyperlink ref="A1" r:id="rId1" xr:uid="{C575F733-C261-4E2C-ADB1-6A67065241EF}"/>
    <hyperlink ref="C7" r:id="rId2" xr:uid="{A6218003-E5CC-4252-B879-DAA77CF84F6F}"/>
    <hyperlink ref="G7" r:id="rId3" xr:uid="{B6F992D3-3823-4D4C-995C-5EE58EB1A574}"/>
    <hyperlink ref="F11:G11" r:id="rId4" display="Property Taxes" xr:uid="{1ACDFF44-0A85-4B31-BBCC-E3F6018FC343}"/>
    <hyperlink ref="F12:G12" r:id="rId5" display="Homeowner's Insurance" xr:uid="{42AADC51-46F4-451C-92AF-D67D6D60DE46}"/>
    <hyperlink ref="K1:L1" r:id="rId6" display="Instructions for how to use this worksheet" xr:uid="{FB6BC05B-9710-4E42-81E7-6E1EE9A4EC50}"/>
  </hyperlinks>
  <pageMargins left="0.75" right="0.75" top="1" bottom="1" header="0.5" footer="0.5"/>
  <pageSetup orientation="portrait" r:id="rId7"/>
  <headerFooter alignWithMargins="0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C843-8E5A-4798-9BC6-0A41CB1DB656}">
  <sheetPr>
    <pageSetUpPr fitToPage="1"/>
  </sheetPr>
  <dimension ref="A1:AA30"/>
  <sheetViews>
    <sheetView showGridLines="0" zoomScale="130" zoomScaleNormal="130" zoomScaleSheetLayoutView="85" workbookViewId="0">
      <selection activeCell="F13" sqref="F13"/>
    </sheetView>
  </sheetViews>
  <sheetFormatPr defaultColWidth="24.28515625" defaultRowHeight="15" x14ac:dyDescent="0.25"/>
  <cols>
    <col min="1" max="1" width="2.85546875" style="167" customWidth="1"/>
    <col min="2" max="2" width="1.42578125" style="167" customWidth="1"/>
    <col min="3" max="3" width="21.42578125" style="167" customWidth="1"/>
    <col min="4" max="4" width="4.85546875" style="167" customWidth="1"/>
    <col min="5" max="5" width="8.42578125" style="167" customWidth="1"/>
    <col min="6" max="6" width="16.5703125" style="167" customWidth="1"/>
    <col min="7" max="7" width="5.42578125" style="167" customWidth="1"/>
    <col min="8" max="10" width="14.28515625" style="167" customWidth="1"/>
    <col min="11" max="11" width="14.28515625" style="166" customWidth="1"/>
    <col min="12" max="15" width="14.28515625" style="167" customWidth="1"/>
    <col min="16" max="16" width="1.140625" style="167" customWidth="1"/>
    <col min="17" max="17" width="3.5703125" style="167" customWidth="1"/>
    <col min="18" max="18" width="28.140625" style="166" customWidth="1"/>
    <col min="19" max="19" width="10.42578125" style="167" customWidth="1"/>
    <col min="20" max="20" width="7.28515625" style="167" customWidth="1"/>
    <col min="21" max="21" width="7.28515625" style="167" hidden="1" customWidth="1"/>
    <col min="22" max="27" width="27.7109375" style="167" hidden="1" customWidth="1"/>
    <col min="28" max="28" width="27.7109375" style="167" customWidth="1"/>
    <col min="29" max="16384" width="24.28515625" style="167"/>
  </cols>
  <sheetData>
    <row r="1" spans="1:26" x14ac:dyDescent="0.25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5"/>
      <c r="L1" s="164"/>
      <c r="M1" s="164"/>
      <c r="N1" s="164"/>
      <c r="O1" s="164"/>
      <c r="P1" s="164"/>
      <c r="Q1" s="164"/>
    </row>
    <row r="2" spans="1:26" ht="7.5" customHeight="1" x14ac:dyDescent="0.25">
      <c r="A2" s="164"/>
      <c r="B2" s="168"/>
      <c r="C2" s="169"/>
      <c r="D2" s="169"/>
      <c r="E2" s="169"/>
      <c r="F2" s="169"/>
      <c r="G2" s="169"/>
      <c r="H2" s="169"/>
      <c r="I2" s="169"/>
      <c r="J2" s="169"/>
      <c r="K2" s="170"/>
      <c r="L2" s="169"/>
      <c r="M2" s="169"/>
      <c r="N2" s="169"/>
      <c r="O2" s="169"/>
      <c r="P2" s="171"/>
      <c r="Q2" s="164"/>
    </row>
    <row r="3" spans="1:26" ht="52.5" customHeight="1" x14ac:dyDescent="0.8">
      <c r="A3" s="164"/>
      <c r="B3" s="172"/>
      <c r="C3" s="307" t="s">
        <v>0</v>
      </c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173"/>
      <c r="P3" s="174"/>
      <c r="Q3" s="164"/>
    </row>
    <row r="4" spans="1:26" ht="7.5" customHeight="1" x14ac:dyDescent="0.25">
      <c r="A4" s="164"/>
      <c r="B4" s="172"/>
      <c r="H4" s="175"/>
      <c r="K4" s="176"/>
      <c r="P4" s="174"/>
      <c r="Q4" s="164"/>
    </row>
    <row r="5" spans="1:26" ht="28.5" x14ac:dyDescent="0.45">
      <c r="A5" s="164"/>
      <c r="B5" s="177"/>
      <c r="C5" s="162"/>
      <c r="D5" s="162"/>
      <c r="E5" s="162"/>
      <c r="F5" s="162"/>
      <c r="G5" s="162"/>
      <c r="H5" s="178" t="s">
        <v>92</v>
      </c>
      <c r="I5" s="162"/>
      <c r="J5" s="162" t="s">
        <v>93</v>
      </c>
      <c r="K5" s="179"/>
      <c r="L5" s="162"/>
      <c r="M5" s="162"/>
      <c r="N5" s="162"/>
      <c r="O5" s="162"/>
      <c r="P5" s="180"/>
      <c r="Q5" s="164"/>
    </row>
    <row r="6" spans="1:26" ht="21" customHeight="1" x14ac:dyDescent="0.25">
      <c r="A6" s="164"/>
      <c r="B6" s="172"/>
      <c r="H6" s="181"/>
      <c r="L6" s="166"/>
      <c r="P6" s="174"/>
      <c r="Q6" s="164"/>
    </row>
    <row r="7" spans="1:26" ht="21" customHeight="1" x14ac:dyDescent="0.25">
      <c r="A7" s="164"/>
      <c r="B7" s="172"/>
      <c r="C7" s="182" t="s">
        <v>94</v>
      </c>
      <c r="D7" s="183"/>
      <c r="E7" s="183"/>
      <c r="F7" s="183"/>
      <c r="G7" s="184"/>
      <c r="H7" s="182" t="s">
        <v>95</v>
      </c>
      <c r="L7" s="166"/>
      <c r="P7" s="174"/>
      <c r="Q7" s="164"/>
    </row>
    <row r="8" spans="1:26" ht="22.5" customHeight="1" x14ac:dyDescent="0.3">
      <c r="A8" s="164"/>
      <c r="B8" s="172"/>
      <c r="C8" s="185" t="s">
        <v>96</v>
      </c>
      <c r="D8" s="186"/>
      <c r="E8" s="187"/>
      <c r="F8" s="188">
        <f>PurchasePrice</f>
        <v>450000</v>
      </c>
      <c r="H8" s="309" t="s">
        <v>97</v>
      </c>
      <c r="I8" s="311" t="s">
        <v>98</v>
      </c>
      <c r="J8" s="309" t="s">
        <v>99</v>
      </c>
      <c r="K8" s="301" t="s">
        <v>100</v>
      </c>
      <c r="L8" s="311" t="s">
        <v>101</v>
      </c>
      <c r="M8" s="301" t="s">
        <v>102</v>
      </c>
      <c r="N8" s="313" t="s">
        <v>103</v>
      </c>
      <c r="O8" s="301" t="s">
        <v>104</v>
      </c>
      <c r="P8" s="174"/>
      <c r="Q8" s="164"/>
    </row>
    <row r="9" spans="1:26" ht="22.5" customHeight="1" x14ac:dyDescent="0.25">
      <c r="A9" s="164"/>
      <c r="B9" s="172"/>
      <c r="C9" s="189" t="s">
        <v>105</v>
      </c>
      <c r="D9" s="190" t="s">
        <v>70</v>
      </c>
      <c r="E9" s="191">
        <f>1-F9</f>
        <v>0.8</v>
      </c>
      <c r="F9" s="192">
        <f>DownPayment</f>
        <v>0.2</v>
      </c>
      <c r="H9" s="310"/>
      <c r="I9" s="312"/>
      <c r="J9" s="310"/>
      <c r="K9" s="302"/>
      <c r="L9" s="312"/>
      <c r="M9" s="302"/>
      <c r="N9" s="314"/>
      <c r="O9" s="302"/>
      <c r="P9" s="174"/>
      <c r="Q9" s="164"/>
      <c r="V9" s="193"/>
      <c r="W9" s="194" t="s">
        <v>106</v>
      </c>
      <c r="X9" s="194" t="s">
        <v>107</v>
      </c>
      <c r="Y9" s="195" t="s">
        <v>108</v>
      </c>
      <c r="Z9" s="194" t="s">
        <v>109</v>
      </c>
    </row>
    <row r="10" spans="1:26" ht="22.5" customHeight="1" x14ac:dyDescent="0.25">
      <c r="A10" s="164"/>
      <c r="B10" s="172"/>
      <c r="C10" s="196" t="s">
        <v>110</v>
      </c>
      <c r="D10" s="197"/>
      <c r="E10" s="198"/>
      <c r="F10" s="199">
        <f>'Loan Am DTI'!Loan_Amount</f>
        <v>366300</v>
      </c>
      <c r="G10" s="174"/>
      <c r="H10" s="200">
        <v>1</v>
      </c>
      <c r="I10" s="267">
        <f>$F$11-(W22*0.01)</f>
        <v>3.7500000000000006E-2</v>
      </c>
      <c r="J10" s="255">
        <f>PMT(($I10)/12,$F$12,-$F$10,0)</f>
        <v>1696.3924119287042</v>
      </c>
      <c r="K10" s="256">
        <f>J10+'Loan Am DTI'!L$8+'Loan Am DTI'!L$12+'Loan Am DTI'!L$15</f>
        <v>2634.3424119287038</v>
      </c>
      <c r="L10" s="264">
        <v>12</v>
      </c>
      <c r="M10" s="201">
        <f>PMT(($F$11)/12,$F$12,-$F$10,0)</f>
        <v>2375.8148277293722</v>
      </c>
      <c r="N10" s="252">
        <f>IF(J10&lt;&gt;"",M10-J10,"")</f>
        <v>679.42241580066798</v>
      </c>
      <c r="O10" s="201">
        <f>N10*12</f>
        <v>8153.0689896080157</v>
      </c>
      <c r="P10" s="174"/>
      <c r="Q10" s="164"/>
      <c r="V10" s="194" t="s">
        <v>111</v>
      </c>
      <c r="W10" s="193" t="s">
        <v>112</v>
      </c>
      <c r="X10" s="193" t="s">
        <v>113</v>
      </c>
      <c r="Y10" s="193" t="s">
        <v>114</v>
      </c>
      <c r="Z10" s="193" t="s">
        <v>115</v>
      </c>
    </row>
    <row r="11" spans="1:26" ht="22.5" customHeight="1" x14ac:dyDescent="0.25">
      <c r="A11" s="164"/>
      <c r="B11" s="172"/>
      <c r="C11" s="202" t="s">
        <v>116</v>
      </c>
      <c r="D11" s="203"/>
      <c r="E11" s="204"/>
      <c r="F11" s="205">
        <f>'Loan Am DTI'!Interest_Rate</f>
        <v>6.7500000000000004E-2</v>
      </c>
      <c r="G11" s="206"/>
      <c r="H11" s="207">
        <f>IF(J11&lt;&gt;"", 2, "")</f>
        <v>2</v>
      </c>
      <c r="I11" s="268">
        <f>$F$11-(X22*0.01)</f>
        <v>4.7500000000000001E-2</v>
      </c>
      <c r="J11" s="257">
        <f>PMT(($I11)/12,$F$12,-$F$10,0)</f>
        <v>1910.7941936108953</v>
      </c>
      <c r="K11" s="258">
        <f>J11+'Loan Am DTI'!L$8+'Loan Am DTI'!L$12+'Loan Am DTI'!L$15</f>
        <v>2848.7441936108953</v>
      </c>
      <c r="L11" s="265">
        <v>12</v>
      </c>
      <c r="M11" s="262">
        <f>PMT(($F$11)/12,$F$12,-$F$10,0)</f>
        <v>2375.8148277293722</v>
      </c>
      <c r="N11" s="208">
        <f>IF(J11&lt;&gt;"",M11-J11,"")</f>
        <v>465.02063411847689</v>
      </c>
      <c r="O11" s="209">
        <f>N11*12</f>
        <v>5580.2476094217227</v>
      </c>
      <c r="P11" s="174"/>
      <c r="Q11" s="164"/>
      <c r="V11" s="194" t="s">
        <v>117</v>
      </c>
      <c r="W11" s="193" t="s">
        <v>114</v>
      </c>
      <c r="X11" s="193" t="s">
        <v>114</v>
      </c>
      <c r="Y11" s="193" t="s">
        <v>114</v>
      </c>
      <c r="Z11" s="193" t="s">
        <v>115</v>
      </c>
    </row>
    <row r="12" spans="1:26" ht="22.5" customHeight="1" x14ac:dyDescent="0.25">
      <c r="A12" s="164"/>
      <c r="B12" s="172"/>
      <c r="C12" s="210" t="s">
        <v>118</v>
      </c>
      <c r="D12" s="211"/>
      <c r="E12" s="212"/>
      <c r="F12" s="213">
        <f>'Loan Am DTI'!Loan_Years*12</f>
        <v>360</v>
      </c>
      <c r="H12" s="207">
        <v>3</v>
      </c>
      <c r="I12" s="268">
        <f>$F$11-(Y22*0.01)</f>
        <v>5.7500000000000002E-2</v>
      </c>
      <c r="J12" s="257">
        <f t="shared" ref="J12:J13" si="0">PMT(($I12)/12,$F$12,-$F$10,0)</f>
        <v>2137.6273731527344</v>
      </c>
      <c r="K12" s="259">
        <f>J12+'Loan Am DTI'!L$8+'Loan Am DTI'!L$12+'Loan Am DTI'!L$15</f>
        <v>3075.5773731527343</v>
      </c>
      <c r="L12" s="265">
        <v>12</v>
      </c>
      <c r="M12" s="262">
        <f>PMT(($F$11)/12,$F$12,-$F$10,0)</f>
        <v>2375.8148277293722</v>
      </c>
      <c r="N12" s="208">
        <f>IF(J12&lt;&gt;"",M12-J12,"")</f>
        <v>238.18745457663772</v>
      </c>
      <c r="O12" s="209">
        <f>N12*12</f>
        <v>2858.2494549196526</v>
      </c>
      <c r="P12" s="174"/>
      <c r="Q12" s="164"/>
      <c r="V12" s="194" t="s">
        <v>119</v>
      </c>
      <c r="W12" s="193" t="s">
        <v>113</v>
      </c>
      <c r="X12" s="193" t="s">
        <v>114</v>
      </c>
      <c r="Y12" s="193" t="s">
        <v>115</v>
      </c>
      <c r="Z12" s="193" t="s">
        <v>115</v>
      </c>
    </row>
    <row r="13" spans="1:26" ht="22.5" customHeight="1" x14ac:dyDescent="0.25">
      <c r="A13" s="164"/>
      <c r="B13" s="172"/>
      <c r="C13" s="189" t="s">
        <v>120</v>
      </c>
      <c r="D13" s="214"/>
      <c r="E13" s="215"/>
      <c r="F13" s="216" t="s">
        <v>111</v>
      </c>
      <c r="H13" s="217" t="str">
        <f>"4 - "&amp;ROUND(F12/12,0)</f>
        <v>4 - 30</v>
      </c>
      <c r="I13" s="269">
        <f>F11</f>
        <v>6.7500000000000004E-2</v>
      </c>
      <c r="J13" s="260">
        <f t="shared" si="0"/>
        <v>2375.8148277293722</v>
      </c>
      <c r="K13" s="261">
        <f>J13+'Loan Am DTI'!L$8+'Loan Am DTI'!L$12+'Loan Am DTI'!L$15</f>
        <v>3313.764827729372</v>
      </c>
      <c r="L13" s="266">
        <f>F12-L11-L10</f>
        <v>336</v>
      </c>
      <c r="M13" s="263">
        <f>PMT(($F$11)/12,$F$12,-$F$10,0)</f>
        <v>2375.8148277293722</v>
      </c>
      <c r="N13" s="218">
        <f>IF(J13&lt;&gt;"",M13-J13,"")</f>
        <v>0</v>
      </c>
      <c r="O13" s="219">
        <f>N13*12</f>
        <v>0</v>
      </c>
      <c r="P13" s="174"/>
      <c r="Q13" s="164"/>
      <c r="V13" s="194" t="s">
        <v>121</v>
      </c>
      <c r="W13" s="193" t="s">
        <v>114</v>
      </c>
      <c r="X13" s="193" t="s">
        <v>114</v>
      </c>
      <c r="Y13" s="193" t="s">
        <v>115</v>
      </c>
      <c r="Z13" s="193" t="s">
        <v>115</v>
      </c>
    </row>
    <row r="14" spans="1:26" ht="22.5" customHeight="1" x14ac:dyDescent="0.3">
      <c r="A14" s="164"/>
      <c r="B14" s="172"/>
      <c r="C14" s="220" t="s">
        <v>122</v>
      </c>
      <c r="D14" s="221"/>
      <c r="E14" s="204"/>
      <c r="F14" s="222">
        <f>IF('Loan Am DTI'!H7="Conventional",IF(Occupancy="Investment",2%,IF(DownPayment&lt;10%,3%,IF(DownPayment&lt;25%,6%,9%))),6%)</f>
        <v>0.06</v>
      </c>
      <c r="H14" s="182" t="s">
        <v>123</v>
      </c>
      <c r="I14" s="182"/>
      <c r="J14" s="182"/>
      <c r="K14" s="223"/>
      <c r="M14" s="224"/>
      <c r="N14" s="225"/>
      <c r="O14" s="225"/>
      <c r="P14" s="174"/>
      <c r="Q14" s="164"/>
      <c r="V14" s="194" t="s">
        <v>124</v>
      </c>
      <c r="W14" s="193" t="s">
        <v>125</v>
      </c>
      <c r="X14" s="193" t="s">
        <v>115</v>
      </c>
      <c r="Y14" s="193" t="s">
        <v>115</v>
      </c>
      <c r="Z14" s="193"/>
    </row>
    <row r="15" spans="1:26" ht="22.5" customHeight="1" x14ac:dyDescent="0.25">
      <c r="A15" s="164"/>
      <c r="B15" s="172"/>
      <c r="C15" s="226" t="s">
        <v>122</v>
      </c>
      <c r="D15" s="227"/>
      <c r="E15" s="228"/>
      <c r="F15" s="229">
        <f>F8*F14</f>
        <v>27000</v>
      </c>
      <c r="G15" s="230"/>
      <c r="H15" s="303" t="s">
        <v>126</v>
      </c>
      <c r="I15" s="304"/>
      <c r="J15" s="304"/>
      <c r="K15" s="304"/>
      <c r="L15" s="305"/>
      <c r="M15" s="231"/>
      <c r="N15" s="232"/>
      <c r="O15" s="232"/>
      <c r="P15" s="174"/>
      <c r="Q15" s="164"/>
    </row>
    <row r="16" spans="1:26" ht="24" customHeight="1" x14ac:dyDescent="0.25">
      <c r="A16" s="164"/>
      <c r="B16" s="172"/>
      <c r="C16" s="233"/>
      <c r="D16" s="234"/>
      <c r="E16" s="234"/>
      <c r="F16" s="235"/>
      <c r="G16" s="306"/>
      <c r="H16" s="236" t="s">
        <v>127</v>
      </c>
      <c r="I16" s="237"/>
      <c r="J16" s="237"/>
      <c r="K16" s="238"/>
      <c r="L16" s="253">
        <f>SUM(O10:O13)</f>
        <v>16591.566053949391</v>
      </c>
      <c r="P16" s="174"/>
      <c r="Q16" s="164"/>
    </row>
    <row r="17" spans="1:26" ht="31.5" customHeight="1" x14ac:dyDescent="0.25">
      <c r="A17" s="164"/>
      <c r="B17" s="172"/>
      <c r="G17" s="306"/>
      <c r="H17" s="239" t="s">
        <v>128</v>
      </c>
      <c r="I17" s="240"/>
      <c r="J17" s="241"/>
      <c r="K17" s="242" t="s">
        <v>129</v>
      </c>
      <c r="L17" s="254">
        <f>IF(F10=0," ",CEILING((+L16/F10),0.00125))</f>
        <v>4.6249999999999999E-2</v>
      </c>
      <c r="P17" s="174"/>
      <c r="Q17" s="164"/>
      <c r="U17" s="167">
        <f>IF($F$13=V17,1,0)</f>
        <v>1</v>
      </c>
      <c r="V17" s="194" t="s">
        <v>111</v>
      </c>
      <c r="W17" s="167">
        <v>3</v>
      </c>
      <c r="X17" s="167">
        <v>2</v>
      </c>
      <c r="Y17" s="167">
        <v>1</v>
      </c>
      <c r="Z17" s="167">
        <v>0</v>
      </c>
    </row>
    <row r="18" spans="1:26" ht="17.25" customHeight="1" x14ac:dyDescent="0.25">
      <c r="A18" s="164"/>
      <c r="B18" s="243"/>
      <c r="C18" s="244"/>
      <c r="D18" s="245"/>
      <c r="E18" s="245"/>
      <c r="F18" s="241"/>
      <c r="G18" s="241"/>
      <c r="H18" s="241"/>
      <c r="I18" s="241"/>
      <c r="J18" s="241"/>
      <c r="K18" s="246"/>
      <c r="L18" s="241"/>
      <c r="M18" s="241"/>
      <c r="N18" s="241"/>
      <c r="O18" s="241"/>
      <c r="P18" s="247"/>
      <c r="Q18" s="164"/>
      <c r="U18" s="167">
        <f t="shared" ref="U18:U21" si="1">IF($F$13=V18,1,0)</f>
        <v>0</v>
      </c>
      <c r="V18" s="194" t="s">
        <v>117</v>
      </c>
      <c r="W18" s="167">
        <v>1</v>
      </c>
      <c r="X18" s="167">
        <v>1</v>
      </c>
      <c r="Y18" s="167">
        <v>1</v>
      </c>
      <c r="Z18" s="167">
        <v>0</v>
      </c>
    </row>
    <row r="19" spans="1:26" ht="15.75" x14ac:dyDescent="0.25">
      <c r="A19" s="164"/>
      <c r="B19" s="164"/>
      <c r="C19" s="164"/>
      <c r="D19" s="164"/>
      <c r="E19" s="164"/>
      <c r="F19" s="164"/>
      <c r="G19" s="164"/>
      <c r="H19" s="164"/>
      <c r="I19" s="164"/>
      <c r="J19" s="248"/>
      <c r="K19" s="164"/>
      <c r="L19" s="164"/>
      <c r="M19" s="164"/>
      <c r="N19" s="164"/>
      <c r="O19" s="164"/>
      <c r="P19" s="164"/>
      <c r="Q19" s="164"/>
      <c r="U19" s="167">
        <f t="shared" si="1"/>
        <v>0</v>
      </c>
      <c r="V19" s="194" t="s">
        <v>119</v>
      </c>
      <c r="W19" s="167">
        <v>2</v>
      </c>
      <c r="X19" s="167">
        <v>1</v>
      </c>
      <c r="Y19" s="167">
        <v>0</v>
      </c>
      <c r="Z19" s="167">
        <v>0</v>
      </c>
    </row>
    <row r="20" spans="1:26" ht="39.75" customHeight="1" x14ac:dyDescent="0.25">
      <c r="J20" s="249"/>
      <c r="K20" s="167"/>
      <c r="M20" s="250"/>
      <c r="U20" s="167">
        <f t="shared" si="1"/>
        <v>0</v>
      </c>
      <c r="V20" s="194" t="s">
        <v>121</v>
      </c>
      <c r="W20" s="167">
        <v>1</v>
      </c>
      <c r="X20" s="167">
        <v>1</v>
      </c>
      <c r="Y20" s="167">
        <v>0</v>
      </c>
      <c r="Z20" s="167">
        <v>0</v>
      </c>
    </row>
    <row r="21" spans="1:26" x14ac:dyDescent="0.25">
      <c r="U21" s="167">
        <f t="shared" si="1"/>
        <v>0</v>
      </c>
      <c r="V21" s="194" t="s">
        <v>124</v>
      </c>
      <c r="W21" s="167">
        <v>1</v>
      </c>
      <c r="X21" s="167">
        <v>0</v>
      </c>
      <c r="Y21" s="167">
        <v>0</v>
      </c>
      <c r="Z21" s="167">
        <v>0</v>
      </c>
    </row>
    <row r="22" spans="1:26" x14ac:dyDescent="0.25">
      <c r="W22" s="251">
        <f>_xlfn.XLOOKUP(1,$U$17:$U$21,W17:W21,0)</f>
        <v>3</v>
      </c>
      <c r="X22" s="251">
        <f t="shared" ref="X22:Z22" si="2">_xlfn.XLOOKUP(1,$U$17:$U$21,X17:X21,0)</f>
        <v>2</v>
      </c>
      <c r="Y22" s="251">
        <f t="shared" si="2"/>
        <v>1</v>
      </c>
      <c r="Z22" s="251">
        <f t="shared" si="2"/>
        <v>0</v>
      </c>
    </row>
    <row r="30" spans="1:26" ht="7.5" customHeight="1" x14ac:dyDescent="0.25"/>
  </sheetData>
  <sheetProtection algorithmName="SHA-512" hashValue="IGfC/LBml1hX6WQXY4j6ngtbI513iYiSQRmgk6Gl32GaFmoBELsxND3G+/DjUx+PmlqMcgVz8ZQMQWupb1FQXA==" saltValue="aTjqs/ocPevHd8vaSmICOA==" spinCount="100000" sheet="1" selectLockedCells="1"/>
  <mergeCells count="11">
    <mergeCell ref="O8:O9"/>
    <mergeCell ref="H15:L15"/>
    <mergeCell ref="G16:G17"/>
    <mergeCell ref="C3:N3"/>
    <mergeCell ref="H8:H9"/>
    <mergeCell ref="I8:I9"/>
    <mergeCell ref="M8:M9"/>
    <mergeCell ref="J8:J9"/>
    <mergeCell ref="K8:K9"/>
    <mergeCell ref="L8:L9"/>
    <mergeCell ref="N8:N9"/>
  </mergeCells>
  <conditionalFormatting sqref="C14:F14">
    <cfRule type="expression" dxfId="1" priority="1">
      <formula>$F$14&lt;$L$17</formula>
    </cfRule>
  </conditionalFormatting>
  <conditionalFormatting sqref="A29:XFD1048576 A23:G28 M23:XFD28 A17:XFD22 AA14:XFD16 V14:Z14 A14:U16 A1:XFD13">
    <cfRule type="expression" dxfId="0" priority="2">
      <formula>#REF!&gt;#REF!</formula>
    </cfRule>
  </conditionalFormatting>
  <dataValidations count="7">
    <dataValidation type="list" allowBlank="1" showInputMessage="1" showErrorMessage="1" sqref="F13" xr:uid="{95856F92-C039-4032-9DF1-F100685B90C4}">
      <formula1>$V$17:$V$21</formula1>
    </dataValidation>
    <dataValidation type="whole" allowBlank="1" showInputMessage="1" showErrorMessage="1" error="Warning, Please enter the Loan Amount." sqref="F15:F16" xr:uid="{B40F2D7D-C7EE-4462-93B6-4C980D7FB967}">
      <formula1>0</formula1>
      <formula2>6000000</formula2>
    </dataValidation>
    <dataValidation type="whole" allowBlank="1" showInputMessage="1" showErrorMessage="1" errorTitle="Invalid Loan Amount" error="Please enter whole numbers only" sqref="F10" xr:uid="{3D8D8AA5-B543-489F-8592-9C12DA2A5304}">
      <formula1>0</formula1>
      <formula2>6000000</formula2>
    </dataValidation>
    <dataValidation type="whole" allowBlank="1" showInputMessage="1" showErrorMessage="1" errorTitle="Invalid Price / Value" error="Please enter whole numbers only" sqref="F8" xr:uid="{D05834CE-EF8C-4B08-B4B7-060F73890E97}">
      <formula1>0</formula1>
      <formula2>6000000</formula2>
    </dataValidation>
    <dataValidation type="decimal" allowBlank="1" showInputMessage="1" showErrorMessage="1" errorTitle="Invalid LTV/CLTV" error="Please enter valid number" sqref="F9" xr:uid="{DA8B45BE-3E67-4C88-9EB4-D56CC31D1B7A}">
      <formula1>0</formula1>
      <formula2>6000000</formula2>
    </dataValidation>
    <dataValidation type="whole" showInputMessage="1" showErrorMessage="1" errorTitle="Invalid Amortization Term" error="Please enter a valuebetween 120 and 360" sqref="F12" xr:uid="{8E891276-8644-4CC3-82AF-90737F26B65D}">
      <formula1>120</formula1>
      <formula2>360</formula2>
    </dataValidation>
    <dataValidation type="decimal" showInputMessage="1" showErrorMessage="1" errorTitle="Invalid Note Rate" error="Please enter a value between 0 and 25" sqref="F11" xr:uid="{417F058C-C31E-4E7C-BD1D-CC4639D8909A}">
      <formula1>0</formula1>
      <formula2>25</formula2>
    </dataValidation>
  </dataValidations>
  <hyperlinks>
    <hyperlink ref="C3" r:id="rId1" xr:uid="{7B1C960F-C8F1-43F2-B895-E220F6A992E3}"/>
    <hyperlink ref="H5" r:id="rId2" display="2/1 Buy Down" xr:uid="{E3FE1332-E0F8-4A6F-9FF0-851C5A5B2B29}"/>
  </hyperlinks>
  <pageMargins left="0.25" right="0.25" top="0.75" bottom="0.75" header="0.3" footer="0.3"/>
  <pageSetup scale="76" orientation="landscape" verticalDpi="1200" r:id="rId3"/>
  <colBreaks count="1" manualBreakCount="1">
    <brk id="16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27</vt:i4>
      </vt:variant>
    </vt:vector>
  </HeadingPairs>
  <TitlesOfParts>
    <vt:vector size="29" baseType="lpstr">
      <vt:lpstr>Loan Am DTI</vt:lpstr>
      <vt:lpstr>Buydown</vt:lpstr>
      <vt:lpstr>'Loan Am DTI'!Beg_Bal</vt:lpstr>
      <vt:lpstr>Conforming_Loan_Limit</vt:lpstr>
      <vt:lpstr>DownPayment</vt:lpstr>
      <vt:lpstr>'Loan Am DTI'!Extra_Pay</vt:lpstr>
      <vt:lpstr>FHA_Loan_Limit</vt:lpstr>
      <vt:lpstr>'Loan Am DTI'!Int</vt:lpstr>
      <vt:lpstr>'Loan Am DTI'!Interest_Rate</vt:lpstr>
      <vt:lpstr>'Loan Am DTI'!Loan_Amount</vt:lpstr>
      <vt:lpstr>'Loan Am DTI'!Loan_Start</vt:lpstr>
      <vt:lpstr>'Loan Am DTI'!Loan_Years</vt:lpstr>
      <vt:lpstr>MI</vt:lpstr>
      <vt:lpstr>'Loan Am DTI'!Num_Pmt_Per_Year</vt:lpstr>
      <vt:lpstr>'Loan Am DTI'!Number_of_Payments</vt:lpstr>
      <vt:lpstr>Occupancy</vt:lpstr>
      <vt:lpstr>'Loan Am DTI'!Pay_Num</vt:lpstr>
      <vt:lpstr>'Loan Am DTI'!Princ</vt:lpstr>
      <vt:lpstr>Buydown!Print_Area</vt:lpstr>
      <vt:lpstr>Program</vt:lpstr>
      <vt:lpstr>PurchasePrice</vt:lpstr>
      <vt:lpstr>'Loan Am DTI'!Sched_Pay</vt:lpstr>
      <vt:lpstr>'Loan Am DTI'!Scheduled_Extra_Payments</vt:lpstr>
      <vt:lpstr>'Loan Am DTI'!Scheduled_Monthly_Payment</vt:lpstr>
      <vt:lpstr>'Loan Am DTI'!Total_Pay</vt:lpstr>
      <vt:lpstr>UFMIP</vt:lpstr>
      <vt:lpstr>UFMIP_Calc</vt:lpstr>
      <vt:lpstr>VA_Loan_Limit</vt:lpstr>
      <vt:lpstr>'Loan Am DTI'!values_entered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Pfeiffer</dc:creator>
  <cp:keywords/>
  <dc:description/>
  <cp:lastModifiedBy>Paige Jorgensen</cp:lastModifiedBy>
  <cp:revision/>
  <dcterms:created xsi:type="dcterms:W3CDTF">2018-08-08T03:20:06Z</dcterms:created>
  <dcterms:modified xsi:type="dcterms:W3CDTF">2022-11-16T15:20:59Z</dcterms:modified>
  <cp:category/>
  <cp:contentStatus/>
</cp:coreProperties>
</file>